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4735" windowHeight="124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221" i="1"/>
  <c r="E212"/>
  <c r="F212"/>
  <c r="F209"/>
  <c r="G209"/>
  <c r="E209"/>
  <c r="D212"/>
  <c r="C212"/>
  <c r="F215"/>
  <c r="F213"/>
  <c r="C213"/>
  <c r="D209"/>
  <c r="F214"/>
  <c r="G207"/>
  <c r="G208"/>
  <c r="G200"/>
  <c r="G201"/>
  <c r="G202"/>
  <c r="G203"/>
  <c r="G204"/>
  <c r="G205"/>
  <c r="G206"/>
  <c r="G199"/>
  <c r="F188"/>
  <c r="G189"/>
  <c r="F189"/>
  <c r="G188"/>
  <c r="G187"/>
  <c r="F187"/>
  <c r="H181"/>
  <c r="I181"/>
  <c r="I173"/>
  <c r="I174"/>
  <c r="I175"/>
  <c r="I176"/>
  <c r="I177"/>
  <c r="I178"/>
  <c r="I179"/>
  <c r="I172"/>
  <c r="H173"/>
  <c r="H174"/>
  <c r="H175"/>
  <c r="H176"/>
  <c r="H177"/>
  <c r="H178"/>
  <c r="H179"/>
  <c r="H172"/>
  <c r="I171"/>
  <c r="I180"/>
  <c r="I170"/>
  <c r="H171"/>
  <c r="H180"/>
  <c r="H170"/>
  <c r="H167"/>
  <c r="G168"/>
  <c r="I166" s="1"/>
  <c r="F168"/>
  <c r="H166" s="1"/>
  <c r="G154"/>
  <c r="I153" s="1"/>
  <c r="F154"/>
  <c r="H153" s="1"/>
  <c r="H154" s="1"/>
  <c r="F137"/>
  <c r="H134" s="1"/>
  <c r="G158"/>
  <c r="I156" s="1"/>
  <c r="F158"/>
  <c r="F160" s="1"/>
  <c r="G151"/>
  <c r="I147" s="1"/>
  <c r="G144"/>
  <c r="I141" s="1"/>
  <c r="G137"/>
  <c r="I134" s="1"/>
  <c r="F151"/>
  <c r="H147" s="1"/>
  <c r="F144"/>
  <c r="H140" s="1"/>
  <c r="L134"/>
  <c r="L136"/>
  <c r="L139"/>
  <c r="L140"/>
  <c r="L142"/>
  <c r="L143"/>
  <c r="L146"/>
  <c r="L147"/>
  <c r="L148"/>
  <c r="L149"/>
  <c r="L150"/>
  <c r="L153"/>
  <c r="L154" s="1"/>
  <c r="L156"/>
  <c r="L157"/>
  <c r="L158" s="1"/>
  <c r="L159"/>
  <c r="L133"/>
  <c r="J134"/>
  <c r="J135"/>
  <c r="J136"/>
  <c r="J139"/>
  <c r="J140"/>
  <c r="J141"/>
  <c r="J142"/>
  <c r="J143"/>
  <c r="J146"/>
  <c r="J147"/>
  <c r="J148"/>
  <c r="J149"/>
  <c r="J150"/>
  <c r="J153"/>
  <c r="J154" s="1"/>
  <c r="J156"/>
  <c r="J157"/>
  <c r="J159"/>
  <c r="J133"/>
  <c r="F118"/>
  <c r="F119"/>
  <c r="F120"/>
  <c r="F117"/>
  <c r="E118"/>
  <c r="E119"/>
  <c r="E120"/>
  <c r="E117"/>
  <c r="C124"/>
  <c r="D121"/>
  <c r="C121"/>
  <c r="E121" s="1"/>
  <c r="D99"/>
  <c r="C99"/>
  <c r="D103"/>
  <c r="C103"/>
  <c r="E83"/>
  <c r="E84"/>
  <c r="E85"/>
  <c r="E82"/>
  <c r="B86"/>
  <c r="H83" s="1"/>
  <c r="C86"/>
  <c r="F83" s="1"/>
  <c r="G83" s="1"/>
  <c r="D84"/>
  <c r="D85"/>
  <c r="D83"/>
  <c r="D82"/>
  <c r="D62"/>
  <c r="G59"/>
  <c r="C54"/>
  <c r="F44"/>
  <c r="E44"/>
  <c r="E24"/>
  <c r="E25"/>
  <c r="E26"/>
  <c r="E21"/>
  <c r="E20"/>
  <c r="E19"/>
  <c r="E18"/>
  <c r="E5"/>
  <c r="E6"/>
  <c r="E7"/>
  <c r="E4"/>
  <c r="D9"/>
  <c r="D8" s="1"/>
  <c r="E8" s="1"/>
  <c r="C9"/>
  <c r="C8" s="1"/>
  <c r="K153" l="1"/>
  <c r="K154" s="1"/>
  <c r="I154"/>
  <c r="H82"/>
  <c r="F121"/>
  <c r="C125"/>
  <c r="H157"/>
  <c r="I157"/>
  <c r="G160"/>
  <c r="I167"/>
  <c r="E62"/>
  <c r="J158"/>
  <c r="H156"/>
  <c r="K156"/>
  <c r="I158"/>
  <c r="H158"/>
  <c r="H143"/>
  <c r="I140"/>
  <c r="K140" s="1"/>
  <c r="I139"/>
  <c r="H133"/>
  <c r="K157"/>
  <c r="I148"/>
  <c r="I150"/>
  <c r="J151"/>
  <c r="L151"/>
  <c r="K147"/>
  <c r="H150"/>
  <c r="H148"/>
  <c r="H146"/>
  <c r="H149"/>
  <c r="K150"/>
  <c r="K148"/>
  <c r="I146"/>
  <c r="I149"/>
  <c r="K149" s="1"/>
  <c r="I142"/>
  <c r="J144"/>
  <c r="L144"/>
  <c r="I143"/>
  <c r="H141"/>
  <c r="H139"/>
  <c r="H142"/>
  <c r="H135"/>
  <c r="J137"/>
  <c r="I135"/>
  <c r="I133"/>
  <c r="K133" s="1"/>
  <c r="H136"/>
  <c r="K134"/>
  <c r="I136"/>
  <c r="E9"/>
  <c r="F82"/>
  <c r="G82" s="1"/>
  <c r="F84"/>
  <c r="G84" s="1"/>
  <c r="H84"/>
  <c r="C123"/>
  <c r="F85"/>
  <c r="G85" s="1"/>
  <c r="H85"/>
  <c r="E23"/>
  <c r="E22"/>
  <c r="K158" l="1"/>
  <c r="H137"/>
  <c r="K143"/>
  <c r="I144"/>
  <c r="H151"/>
  <c r="K146"/>
  <c r="K151" s="1"/>
  <c r="I151"/>
  <c r="H159"/>
  <c r="H144"/>
  <c r="K139"/>
  <c r="K142"/>
  <c r="K136"/>
  <c r="I137"/>
  <c r="K144" l="1"/>
</calcChain>
</file>

<file path=xl/sharedStrings.xml><?xml version="1.0" encoding="utf-8"?>
<sst xmlns="http://schemas.openxmlformats.org/spreadsheetml/2006/main" count="257" uniqueCount="213">
  <si>
    <t>Используя данные приведённые в таблицах проанализируйте влияние факторов на среднегодовую выработку 1го работника определите целодневные и внурисменные потери рабочего времени и сформулируйте выводы.</t>
  </si>
  <si>
    <t>№</t>
  </si>
  <si>
    <t>Показатель</t>
  </si>
  <si>
    <t>t0</t>
  </si>
  <si>
    <t>t1</t>
  </si>
  <si>
    <t>Дэльта +/-</t>
  </si>
  <si>
    <t>объём выпуска подукции  в млн. рублей</t>
  </si>
  <si>
    <t>среднегодовая численность рабочих, ч.</t>
  </si>
  <si>
    <t>отработано одним рабочим за год, дн.</t>
  </si>
  <si>
    <t>средняя продолжительность рабочего дня, ч.</t>
  </si>
  <si>
    <t>среднегодовая выработка продукции одним рабочим, млн. р.</t>
  </si>
  <si>
    <t>среднечасовая выработка продукции одним рабочим, млн. руб.</t>
  </si>
  <si>
    <t>среднегодовая выработка 1го работника уменьшилась на 400 рублей за счёт уменьшения количества отработанных дней одним рабочим за год на 5 дней</t>
  </si>
  <si>
    <t>сокращение среднечасовой выработки одним рабочим</t>
  </si>
  <si>
    <t>к</t>
  </si>
  <si>
    <t>как видно из приведённых данных предприятие использовало персонал не достаточно полно. В среднем 1им работником отраотанно 250 дней вместо 255  связи с чем сверхплановые, целодневные птери рабоего времени составили на 1го рабочего 5 дней, а на всех 470 ндей или 3666 часов. Существенны и внутрисменные потери рабочего времени. За 1 день они составили 0,1 часа, а за все отработанные дни всеми работниками 2350 часов. Для выявления причин целодневных и внутрисмежных потерь рабочего времени составляются данные фактического и планового баланса рабочего времени.</t>
  </si>
  <si>
    <t>Выручка от реализации млн</t>
  </si>
  <si>
    <t>доля выручки в стоимости выпущеной продукции %</t>
  </si>
  <si>
    <t>прибыль на 1го работника в млн. руб.</t>
  </si>
  <si>
    <t>рентабельность оборота в %</t>
  </si>
  <si>
    <t>выработка продукции 1 работником в текущих ценах млн. руб</t>
  </si>
  <si>
    <t>среднегодовая выработка продукции 1им работником в ценах базисного периода, млн. руб.</t>
  </si>
  <si>
    <t>2 задача</t>
  </si>
  <si>
    <t>3 задача</t>
  </si>
  <si>
    <t>На основании приведённых данных определите измеения: 1. в наличии,  в составе и техническом состоянии основных средств, 2 в уровне капитавооруженности и технической вооруженности труда.</t>
  </si>
  <si>
    <t>t0, сумма тыс. руб</t>
  </si>
  <si>
    <t>t1, сумма тыс рубл</t>
  </si>
  <si>
    <t>Здания и сооружения</t>
  </si>
  <si>
    <t>машины и оборудование</t>
  </si>
  <si>
    <t>измерительные приборы</t>
  </si>
  <si>
    <t>транспортные средства</t>
  </si>
  <si>
    <t>Инструмент</t>
  </si>
  <si>
    <t>всего основных средств по первоначальной стоимости</t>
  </si>
  <si>
    <t>износ основых средств</t>
  </si>
  <si>
    <t>справки</t>
  </si>
  <si>
    <t>среднесписочная численность рабочих в наибольшую смену, человек</t>
  </si>
  <si>
    <t>за отчётный период млн. руб.</t>
  </si>
  <si>
    <t>выбыло ОС</t>
  </si>
  <si>
    <t>поступило ОС</t>
  </si>
  <si>
    <t>остаток ОС на начало года</t>
  </si>
  <si>
    <t>Коэффициент прироста = сумма прироста ОС за период / их стоимость на начало периода</t>
  </si>
  <si>
    <t>Семинар:</t>
  </si>
  <si>
    <r>
      <t>1.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Затраты:</t>
    </r>
  </si>
  <si>
    <r>
      <t>a.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По плану. Значение показателей 24 000</t>
    </r>
  </si>
  <si>
    <r>
      <t>b.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Calibri"/>
        <family val="2"/>
        <charset val="204"/>
        <scheme val="minor"/>
      </rPr>
      <t>По плану пересчитанному на фактический объём</t>
    </r>
  </si>
  <si>
    <r>
      <t>c.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По плановым нормам и плановым ценам на фактический выпуск продукции 27 700</t>
    </r>
  </si>
  <si>
    <r>
      <t>d.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Calibri"/>
        <family val="2"/>
        <charset val="204"/>
        <scheme val="minor"/>
      </rPr>
      <t>Фактический по плановым ценам 28 200</t>
    </r>
  </si>
  <si>
    <r>
      <t>e.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Calibri"/>
        <family val="2"/>
        <charset val="204"/>
        <scheme val="minor"/>
      </rPr>
      <t>Фактический 28 900</t>
    </r>
  </si>
  <si>
    <r>
      <t>2.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Стоимость товарной продукции в млн. рублей</t>
    </r>
  </si>
  <si>
    <r>
      <t>a.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По плану 115 380</t>
    </r>
  </si>
  <si>
    <r>
      <t>b.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Calibri"/>
        <family val="2"/>
        <charset val="204"/>
        <scheme val="minor"/>
      </rPr>
      <t>По плану пересчитанному на фактический объём при плановой структуре 113 920</t>
    </r>
  </si>
  <si>
    <r>
      <t>c.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Фактически поп плановым ценам 115 900</t>
    </r>
  </si>
  <si>
    <r>
      <t>d.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Calibri"/>
        <family val="2"/>
        <charset val="204"/>
        <scheme val="minor"/>
      </rPr>
      <t>Фактически</t>
    </r>
  </si>
  <si>
    <t>МЕ = Материальные затраты / стоимость Товарной продукции = (Объём выпущенной продукции * Структура продукции * Расход материала на единицу продукции * Цены на материальные ресурсы)/ (Объём выпущенной продукции * Структура продукции * Цены на материальные ресурсы)</t>
  </si>
  <si>
    <t>Уровень результативного показателя</t>
  </si>
  <si>
    <t>Фактор</t>
  </si>
  <si>
    <r>
      <t>Х</t>
    </r>
    <r>
      <rPr>
        <vertAlign val="subscript"/>
        <sz val="11"/>
        <color theme="1"/>
        <rFont val="Calibri"/>
        <family val="2"/>
        <charset val="204"/>
        <scheme val="minor"/>
      </rPr>
      <t>1</t>
    </r>
  </si>
  <si>
    <r>
      <t>Х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</si>
  <si>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r>
      <t>Х</t>
    </r>
    <r>
      <rPr>
        <vertAlign val="subscript"/>
        <sz val="11"/>
        <color theme="1"/>
        <rFont val="Calibri"/>
        <family val="2"/>
        <charset val="204"/>
        <scheme val="minor"/>
      </rPr>
      <t>3</t>
    </r>
  </si>
  <si>
    <r>
      <t>Х</t>
    </r>
    <r>
      <rPr>
        <vertAlign val="subscript"/>
        <sz val="11"/>
        <color theme="1"/>
        <rFont val="Calibri"/>
        <family val="2"/>
        <charset val="204"/>
        <scheme val="minor"/>
      </rPr>
      <t>4</t>
    </r>
  </si>
  <si>
    <r>
      <t>Y</t>
    </r>
    <r>
      <rPr>
        <vertAlign val="subscript"/>
        <sz val="11"/>
        <color theme="1"/>
        <rFont val="Calibri"/>
        <family val="2"/>
        <charset val="204"/>
        <scheme val="minor"/>
      </rPr>
      <t>0</t>
    </r>
  </si>
  <si>
    <r>
      <t>t</t>
    </r>
    <r>
      <rPr>
        <vertAlign val="subscript"/>
        <sz val="11"/>
        <color theme="1"/>
        <rFont val="Calibri"/>
        <family val="2"/>
        <charset val="204"/>
        <scheme val="minor"/>
      </rPr>
      <t>0</t>
    </r>
  </si>
  <si>
    <r>
      <t>Yусл</t>
    </r>
    <r>
      <rPr>
        <vertAlign val="subscript"/>
        <sz val="11"/>
        <color theme="1"/>
        <rFont val="Calibri"/>
        <family val="2"/>
        <charset val="204"/>
        <scheme val="minor"/>
      </rPr>
      <t>1=</t>
    </r>
  </si>
  <si>
    <r>
      <t>t</t>
    </r>
    <r>
      <rPr>
        <vertAlign val="subscript"/>
        <sz val="11"/>
        <color theme="1"/>
        <rFont val="Calibri"/>
        <family val="2"/>
        <charset val="204"/>
        <scheme val="minor"/>
      </rPr>
      <t>1</t>
    </r>
    <r>
      <rPr>
        <sz val="11"/>
        <color theme="1"/>
        <rFont val="Calibri"/>
        <family val="2"/>
        <charset val="204"/>
        <scheme val="minor"/>
      </rPr>
      <t>*</t>
    </r>
  </si>
  <si>
    <r>
      <t>t</t>
    </r>
    <r>
      <rPr>
        <vertAlign val="sub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>*</t>
    </r>
  </si>
  <si>
    <r>
      <t>Yусл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</si>
  <si>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r>
      <t>t</t>
    </r>
    <r>
      <rPr>
        <vertAlign val="subscript"/>
        <sz val="11"/>
        <color theme="1"/>
        <rFont val="Calibri"/>
        <family val="2"/>
        <charset val="204"/>
        <scheme val="minor"/>
      </rPr>
      <t>1</t>
    </r>
  </si>
  <si>
    <r>
      <t>Yусл</t>
    </r>
    <r>
      <rPr>
        <vertAlign val="subscript"/>
        <sz val="11"/>
        <color theme="1"/>
        <rFont val="Calibri"/>
        <family val="2"/>
        <charset val="204"/>
        <scheme val="minor"/>
      </rPr>
      <t>3</t>
    </r>
  </si>
  <si>
    <r>
      <t>Y</t>
    </r>
    <r>
      <rPr>
        <vertAlign val="subscript"/>
        <sz val="11"/>
        <color theme="1"/>
        <rFont val="Calibri"/>
        <family val="2"/>
        <charset val="204"/>
        <scheme val="minor"/>
      </rPr>
      <t>1</t>
    </r>
  </si>
  <si>
    <r>
      <t>У</t>
    </r>
    <r>
      <rPr>
        <vertAlign val="sub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 xml:space="preserve"> – базовое значение результативного показателя</t>
    </r>
  </si>
  <si>
    <r>
      <t>∆Yx</t>
    </r>
    <r>
      <rPr>
        <vertAlign val="subscript"/>
        <sz val="11"/>
        <color rgb="FFFF0000"/>
        <rFont val="Calibri"/>
        <family val="2"/>
        <charset val="204"/>
        <scheme val="minor"/>
      </rPr>
      <t>1</t>
    </r>
    <r>
      <rPr>
        <sz val="11"/>
        <color rgb="FFFF0000"/>
        <rFont val="Calibri"/>
        <family val="2"/>
        <charset val="204"/>
        <scheme val="minor"/>
      </rPr>
      <t>=Yусл</t>
    </r>
    <r>
      <rPr>
        <vertAlign val="subscript"/>
        <sz val="11"/>
        <color rgb="FFFF0000"/>
        <rFont val="Calibri"/>
        <family val="2"/>
        <charset val="204"/>
        <scheme val="minor"/>
      </rPr>
      <t>1</t>
    </r>
    <r>
      <rPr>
        <sz val="11"/>
        <color rgb="FFFF0000"/>
        <rFont val="Calibri"/>
        <family val="2"/>
        <charset val="204"/>
        <scheme val="minor"/>
      </rPr>
      <t>-Y</t>
    </r>
    <r>
      <rPr>
        <vertAlign val="subscript"/>
        <sz val="11"/>
        <color rgb="FFFF0000"/>
        <rFont val="Calibri"/>
        <family val="2"/>
        <charset val="204"/>
        <scheme val="minor"/>
      </rPr>
      <t>0</t>
    </r>
  </si>
  <si>
    <r>
      <t>∆Yx</t>
    </r>
    <r>
      <rPr>
        <vertAlign val="subscript"/>
        <sz val="11"/>
        <color rgb="FFFF0000"/>
        <rFont val="Calibri"/>
        <family val="2"/>
        <charset val="204"/>
        <scheme val="minor"/>
      </rPr>
      <t>2</t>
    </r>
    <r>
      <rPr>
        <sz val="11"/>
        <color rgb="FFFF0000"/>
        <rFont val="Calibri"/>
        <family val="2"/>
        <charset val="204"/>
        <scheme val="minor"/>
      </rPr>
      <t>=Yусл</t>
    </r>
    <r>
      <rPr>
        <vertAlign val="subscript"/>
        <sz val="11"/>
        <color rgb="FFFF0000"/>
        <rFont val="Calibri"/>
        <family val="2"/>
        <charset val="204"/>
        <scheme val="minor"/>
      </rPr>
      <t>2</t>
    </r>
    <r>
      <rPr>
        <sz val="11"/>
        <color rgb="FFFF0000"/>
        <rFont val="Calibri"/>
        <family val="2"/>
        <charset val="204"/>
        <scheme val="minor"/>
      </rPr>
      <t>-Yусл</t>
    </r>
    <r>
      <rPr>
        <vertAlign val="subscript"/>
        <sz val="11"/>
        <color rgb="FFFF0000"/>
        <rFont val="Calibri"/>
        <family val="2"/>
        <charset val="204"/>
        <scheme val="minor"/>
      </rPr>
      <t>1</t>
    </r>
  </si>
  <si>
    <r>
      <t>∆Yx</t>
    </r>
    <r>
      <rPr>
        <vertAlign val="subscript"/>
        <sz val="11"/>
        <color rgb="FFFF0000"/>
        <rFont val="Calibri"/>
        <family val="2"/>
        <charset val="204"/>
        <scheme val="minor"/>
      </rPr>
      <t>3</t>
    </r>
    <r>
      <rPr>
        <sz val="11"/>
        <color rgb="FFFF0000"/>
        <rFont val="Calibri"/>
        <family val="2"/>
        <charset val="204"/>
        <scheme val="minor"/>
      </rPr>
      <t>=Yусл</t>
    </r>
    <r>
      <rPr>
        <vertAlign val="subscript"/>
        <sz val="11"/>
        <color rgb="FFFF0000"/>
        <rFont val="Calibri"/>
        <family val="2"/>
        <charset val="204"/>
        <scheme val="minor"/>
      </rPr>
      <t>3</t>
    </r>
    <r>
      <rPr>
        <sz val="11"/>
        <color rgb="FFFF0000"/>
        <rFont val="Calibri"/>
        <family val="2"/>
        <charset val="204"/>
        <scheme val="minor"/>
      </rPr>
      <t>-Yусл</t>
    </r>
    <r>
      <rPr>
        <vertAlign val="subscript"/>
        <sz val="11"/>
        <color rgb="FFFF0000"/>
        <rFont val="Calibri"/>
        <family val="2"/>
        <charset val="204"/>
        <scheme val="minor"/>
      </rPr>
      <t>2</t>
    </r>
  </si>
  <si>
    <r>
      <t>∆Yx</t>
    </r>
    <r>
      <rPr>
        <vertAlign val="subscript"/>
        <sz val="11"/>
        <color rgb="FFFF0000"/>
        <rFont val="Calibri"/>
        <family val="2"/>
        <charset val="204"/>
        <scheme val="minor"/>
      </rPr>
      <t>3</t>
    </r>
    <r>
      <rPr>
        <sz val="11"/>
        <color rgb="FFFF0000"/>
        <rFont val="Calibri"/>
        <family val="2"/>
        <charset val="204"/>
        <scheme val="minor"/>
      </rPr>
      <t>=Y</t>
    </r>
    <r>
      <rPr>
        <vertAlign val="subscript"/>
        <sz val="11"/>
        <color rgb="FFFF0000"/>
        <rFont val="Calibri"/>
        <family val="2"/>
        <charset val="204"/>
        <scheme val="minor"/>
      </rPr>
      <t>1</t>
    </r>
    <r>
      <rPr>
        <sz val="11"/>
        <color rgb="FFFF0000"/>
        <rFont val="Calibri"/>
        <family val="2"/>
        <charset val="204"/>
        <scheme val="minor"/>
      </rPr>
      <t>-Yусл</t>
    </r>
    <r>
      <rPr>
        <vertAlign val="subscript"/>
        <sz val="11"/>
        <color rgb="FFFF0000"/>
        <rFont val="Calibri"/>
        <family val="2"/>
        <charset val="204"/>
        <scheme val="minor"/>
      </rPr>
      <t>3</t>
    </r>
  </si>
  <si>
    <t>МЕ = (113 920 * Структура продукции * Расход материала на единицу продукции * Цены на материальные ресурсы)/ (Объём выпущенной продукции * Структура продукции * Цены на материальные ресурсы)</t>
  </si>
  <si>
    <t>Используя данные приведённые в табл. Рассчитать влияние факоров на изменение уровня материалоёмкости</t>
  </si>
  <si>
    <t>Вид продукции</t>
  </si>
  <si>
    <t>выпуск продукции по плану в млн. рублей</t>
  </si>
  <si>
    <t>выпуск продукции фактический млн. руб.</t>
  </si>
  <si>
    <t>а</t>
  </si>
  <si>
    <t>б</t>
  </si>
  <si>
    <t>в</t>
  </si>
  <si>
    <t>г</t>
  </si>
  <si>
    <t>итого</t>
  </si>
  <si>
    <t>используя данные приведённые  в таблице проанализировать выполнение плана по объёму, ассортименту и структуре товарной продукции. По результатам анализа сделать вывод.</t>
  </si>
  <si>
    <t>по данным приведённым в таблице составить факорную модель, осуществить анализ вдлияния факторов на объём реалихации продукции способом цепных подстановок и сделать выводы (учёт реализации по моменту оплаты)</t>
  </si>
  <si>
    <t>номер</t>
  </si>
  <si>
    <t>показатели</t>
  </si>
  <si>
    <t>по плану в т. Руб.</t>
  </si>
  <si>
    <t>фактический т.р.</t>
  </si>
  <si>
    <t>остатки готовой продукции на складе:</t>
  </si>
  <si>
    <t xml:space="preserve">на начало </t>
  </si>
  <si>
    <t>на конец</t>
  </si>
  <si>
    <t>выпуск продукции</t>
  </si>
  <si>
    <t>отгружено за год</t>
  </si>
  <si>
    <t>остатки товаров отгруженых</t>
  </si>
  <si>
    <t>реализация</t>
  </si>
  <si>
    <t>дэльта Рвп = [ВП1 - (ОГПко-ОГПно)-(Отко-Отно)]-Ро= 89 500 - (5000 - 4900) - (5000 - 5200) -89500 = - 900</t>
  </si>
  <si>
    <t>дэльта Рогпк = [ВП1 - (ОГПк1 - ОГПн0) - (ОТк0 - ОТн0)] - [ВП1- (ОГПк0 - ОГПн0) - (ОТк0 - ОТн0)]=88500 - 88600=-100</t>
  </si>
  <si>
    <t>дэльта Рогпн = [ВП1- (ОГПк1 - ОГПн1) - (ОТк0 - ОТн0)] - [ВП1 - (ОГПк1 - ОГПн0) - (ОТк0 - ОТн0)] = 88600 - 88500 = 100</t>
  </si>
  <si>
    <t>дэльта Ротк = [ВП1- (ОГПк1 - ОГПн1) - (ОТк1 - ОТн0)] - [ВП1 - (ОГПк1 - ОГПн1) - (ОТк0 - ОТн0)] = 88700 - 88600 = 100</t>
  </si>
  <si>
    <t>дэльта Ротн = [ВП1- (ОГПк1 - ОГПн1) - (ОТк1 - ОТн1)] - [ВП1 - (ОГПк1 - ОГПн1) - (ОТк1 - ОТн0)] = 88700 - 88500 = 200</t>
  </si>
  <si>
    <t>дэльта Рвп + дэльта Рогпк + дэльта Рогпн …</t>
  </si>
  <si>
    <t>Используя данные приведённые в таблице проанализируйте влияние факторов на изменение себестоимости отдельного вида продукции, сормулируйте выводы.</t>
  </si>
  <si>
    <t>по плану</t>
  </si>
  <si>
    <t>фактически</t>
  </si>
  <si>
    <t>номер по порядку</t>
  </si>
  <si>
    <t>объём выпуска продукции в у.е.</t>
  </si>
  <si>
    <t>сумма потсоянных затрат на весь выпуск подукции, млн. руб.</t>
  </si>
  <si>
    <t>сумма переменных затрат на весь выпуск продукции , млн. руб.</t>
  </si>
  <si>
    <t>сумма переменных затрат на единицу продукции, млн. руб.</t>
  </si>
  <si>
    <t>себестоимость единицы продукции, млн. руб.</t>
  </si>
  <si>
    <t>за счёт измеения постоянных затрат на весь пуск продукции себестоимость изменилась на</t>
  </si>
  <si>
    <t xml:space="preserve">за счёт измения объёма выпуска </t>
  </si>
  <si>
    <t>за счёт изменения сммы переменных затрат на единицу продукии</t>
  </si>
  <si>
    <t>Вид А/П</t>
  </si>
  <si>
    <t>значение показателя в Т.Р.</t>
  </si>
  <si>
    <t>на нач периода</t>
  </si>
  <si>
    <t>на конец периода</t>
  </si>
  <si>
    <t>удельный вес в валюте баланса</t>
  </si>
  <si>
    <t>на нач. периода</t>
  </si>
  <si>
    <t>изменение</t>
  </si>
  <si>
    <t>абсолютной величины в т.р</t>
  </si>
  <si>
    <t>удельного веса в %</t>
  </si>
  <si>
    <t>по отношению к началу периода</t>
  </si>
  <si>
    <t>основные средства</t>
  </si>
  <si>
    <t>не материальные активы</t>
  </si>
  <si>
    <t>доходные вложения в не материальные ценности</t>
  </si>
  <si>
    <t>не завершенное строительство</t>
  </si>
  <si>
    <t>Оборотные активы:</t>
  </si>
  <si>
    <t>Внеоборотные активы:</t>
  </si>
  <si>
    <t>запасы и затраты</t>
  </si>
  <si>
    <t>налоги по приобретённым активам</t>
  </si>
  <si>
    <t>задолжность, платежи  которой ожидаются в течении 12 месяцев после отётной даты</t>
  </si>
  <si>
    <t>денежные средства</t>
  </si>
  <si>
    <t>Капитал и резервы:</t>
  </si>
  <si>
    <t>уставный фонд</t>
  </si>
  <si>
    <t>резервныый фонд</t>
  </si>
  <si>
    <t>добавочный фонд</t>
  </si>
  <si>
    <t>не распределённая прибыль (не покрытый убыток)</t>
  </si>
  <si>
    <t>целевое финансирование</t>
  </si>
  <si>
    <t>Долгосрочные обязательства:</t>
  </si>
  <si>
    <t>прочие долгосрочные обязательства</t>
  </si>
  <si>
    <t>Краткосрочные обязательства:</t>
  </si>
  <si>
    <t>крткосрочные кредиты и займы</t>
  </si>
  <si>
    <t>кредиторская задолженность</t>
  </si>
  <si>
    <t>БАЛАНС</t>
  </si>
  <si>
    <t>-</t>
  </si>
  <si>
    <t>Анализ кредиторской задолженности</t>
  </si>
  <si>
    <t>показатель</t>
  </si>
  <si>
    <t>значение показателя</t>
  </si>
  <si>
    <t>на кон периода</t>
  </si>
  <si>
    <t>удельный вес кредиторй задолженности %</t>
  </si>
  <si>
    <t>Долгосрочные обязательства</t>
  </si>
  <si>
    <t>краткосрочные кредиты и займы</t>
  </si>
  <si>
    <t>кредиторся задолженность</t>
  </si>
  <si>
    <t>Краткосрочные обязательства</t>
  </si>
  <si>
    <t>долгосрочные кредиты и займы</t>
  </si>
  <si>
    <t>"- перед покупателями и заказчиками</t>
  </si>
  <si>
    <t>"-по расчетам с персоналом по оплате труда</t>
  </si>
  <si>
    <t>"-по прочим расчетам с персоналом</t>
  </si>
  <si>
    <t>"- по налогам и сборам</t>
  </si>
  <si>
    <t>"- перед поставщиками и подрядчиками</t>
  </si>
  <si>
    <t>"- по социальному страхованию и обеспечению</t>
  </si>
  <si>
    <t>"- по лизинговым платежам</t>
  </si>
  <si>
    <t>" - перед прочими кредиторами</t>
  </si>
  <si>
    <t>задолженнось перед участниками учредителями</t>
  </si>
  <si>
    <t>Итого</t>
  </si>
  <si>
    <t>Анализ общего финансовое состояние предприятия (торговля и общественное питание)</t>
  </si>
  <si>
    <t>наименование показателей</t>
  </si>
  <si>
    <t>норматив коэффициента</t>
  </si>
  <si>
    <t>Коэффициент текущей ликвидности</t>
  </si>
  <si>
    <t>Коэффициент обеспеченности собственными оборотными средствами</t>
  </si>
  <si>
    <t>Коэффициент обеспеченност финансовых обязательств активами</t>
  </si>
  <si>
    <t>не более 0,85</t>
  </si>
  <si>
    <t>коэффициент абсолютной ликвидности</t>
  </si>
  <si>
    <t>не менее 0,2</t>
  </si>
  <si>
    <t xml:space="preserve">Коэффициент текущей ликвидности – это отношение всей суммы оборотных активов включая запасы за минусом расходов будущих периодов к общеё сумме краткосрочных обязательств. </t>
  </si>
  <si>
    <t xml:space="preserve">Коэффициент абсолютной ликвидности определяется отношением денежных средств и краткосрочных финансовых вложений ко всей сумме краткосрочных долгов предприятия. </t>
  </si>
  <si>
    <t>Он определяется как отношение всех долгосрочных и краткосрочных обязательств предприятия за исключением резервов предстоящих расходов к общей стоимости активов.</t>
  </si>
  <si>
    <t>Он рассчитывается как отношение суммы итога раздела 3, пассива баланса и резервов предстоящих расходов за вычетом итога раздела 1 актива баланса к итогу раздела  актива баланса</t>
  </si>
  <si>
    <t>Коэффициент обеспеченности собственными оборотными средствами на конец отчётного периода в зависимости от отраслевой принадлежности имеет значение менее установленного законодательством.</t>
  </si>
  <si>
    <t>Проести оценку качественных изменений имущественного положения предриятия</t>
  </si>
  <si>
    <t>приложение к бухгалтерскому балансу (выдержки)</t>
  </si>
  <si>
    <t>основные средства и не материальные активы</t>
  </si>
  <si>
    <t>код строки</t>
  </si>
  <si>
    <t>на начало года</t>
  </si>
  <si>
    <t>поступило</t>
  </si>
  <si>
    <t>выбыло</t>
  </si>
  <si>
    <t>на конец года</t>
  </si>
  <si>
    <t>в том числе:</t>
  </si>
  <si>
    <t>Осноные средства всего</t>
  </si>
  <si>
    <t>"-здания и сооружения</t>
  </si>
  <si>
    <t>"-инструмент, инвентарь и принадлежности</t>
  </si>
  <si>
    <t>"-рабочий скот и животные основного стада</t>
  </si>
  <si>
    <t>"-транспортные средства</t>
  </si>
  <si>
    <t>"-машины и оборудование</t>
  </si>
  <si>
    <t>"-передаточные устройства</t>
  </si>
  <si>
    <t>"-многолетние насождения</t>
  </si>
  <si>
    <t>"-капитальные затраты в улучшенияземель</t>
  </si>
  <si>
    <t>"-прочие ОС</t>
  </si>
  <si>
    <t>Нематериальные активы</t>
  </si>
  <si>
    <t>для оценки изменений</t>
  </si>
  <si>
    <t>наименование показателя</t>
  </si>
  <si>
    <t>на начало отчетного периода</t>
  </si>
  <si>
    <t>на конец отчётного периода</t>
  </si>
  <si>
    <t>доля активной части ОС, %</t>
  </si>
  <si>
    <t>коэффициент износа ОС</t>
  </si>
  <si>
    <t>коэффициент обновления</t>
  </si>
  <si>
    <t>коэффиет выбытия</t>
  </si>
  <si>
    <t>финансовые вложения</t>
  </si>
  <si>
    <t>Аммортизация ОС</t>
  </si>
  <si>
    <t>находимся в полной зависимости перед наоговыми органами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</si>
</sst>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6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vertAlign val="subscript"/>
      <sz val="11"/>
      <color theme="1"/>
      <name val="Calibri"/>
      <family val="2"/>
      <charset val="204"/>
      <scheme val="minor"/>
    </font>
    <font>
      <vertAlign val="subscript"/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89999084444715716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0">
    <xf numFmtId="0" fontId="0" fillId="0" borderId="0" xfId="0"/>
    <xf numFmtId="3" fontId="0" fillId="0" borderId="0" xfId="0" applyNumberFormat="1"/>
    <xf numFmtId="10" fontId="0" fillId="0" borderId="0" xfId="0" applyNumberFormat="1"/>
    <xf numFmtId="0" fontId="0" fillId="2" borderId="0" xfId="0" applyFill="1"/>
    <xf numFmtId="0" fontId="0" fillId="0" borderId="0" xfId="0" applyNumberFormat="1"/>
    <xf numFmtId="0" fontId="0" fillId="0" borderId="0" xfId="0" applyAlignment="1">
      <alignment horizontal="left" indent="5"/>
    </xf>
    <xf numFmtId="0" fontId="0" fillId="0" borderId="0" xfId="0" applyAlignment="1">
      <alignment horizontal="left" indent="10"/>
    </xf>
    <xf numFmtId="0" fontId="1" fillId="0" borderId="0" xfId="0" applyFont="1"/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3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7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29" xfId="0" applyFill="1" applyBorder="1"/>
    <xf numFmtId="0" fontId="0" fillId="0" borderId="7" xfId="0" applyFill="1" applyBorder="1"/>
    <xf numFmtId="0" fontId="0" fillId="0" borderId="16" xfId="0" applyFill="1" applyBorder="1"/>
    <xf numFmtId="0" fontId="0" fillId="0" borderId="25" xfId="0" applyFill="1" applyBorder="1"/>
    <xf numFmtId="3" fontId="0" fillId="0" borderId="7" xfId="0" applyNumberFormat="1" applyBorder="1"/>
    <xf numFmtId="3" fontId="0" fillId="0" borderId="8" xfId="0" applyNumberFormat="1" applyBorder="1"/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0" fontId="0" fillId="0" borderId="34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7" xfId="1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1"/>
  <sheetViews>
    <sheetView tabSelected="1" topLeftCell="A195" zoomScaleNormal="100" workbookViewId="0">
      <selection activeCell="B221" sqref="B221"/>
    </sheetView>
  </sheetViews>
  <sheetFormatPr defaultRowHeight="15"/>
  <cols>
    <col min="2" max="2" width="60.5703125" customWidth="1"/>
    <col min="3" max="3" width="22" customWidth="1"/>
    <col min="4" max="4" width="16.140625" customWidth="1"/>
    <col min="5" max="5" width="81.5703125" bestFit="1" customWidth="1"/>
    <col min="6" max="6" width="16.85546875" customWidth="1"/>
    <col min="7" max="7" width="19.42578125" customWidth="1"/>
    <col min="8" max="8" width="24.42578125" customWidth="1"/>
    <col min="9" max="9" width="24.28515625" customWidth="1"/>
    <col min="10" max="10" width="14.85546875" customWidth="1"/>
    <col min="11" max="11" width="12.42578125" customWidth="1"/>
    <col min="12" max="12" width="15.28515625" customWidth="1"/>
  </cols>
  <sheetData>
    <row r="1" spans="1:5">
      <c r="A1" t="s">
        <v>0</v>
      </c>
    </row>
    <row r="3" spans="1: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>
      <c r="A4">
        <v>1</v>
      </c>
      <c r="B4" t="s">
        <v>6</v>
      </c>
      <c r="C4">
        <v>2040</v>
      </c>
      <c r="D4">
        <v>1786</v>
      </c>
      <c r="E4">
        <f>D4-C4</f>
        <v>-254</v>
      </c>
    </row>
    <row r="5" spans="1:5">
      <c r="A5">
        <v>2</v>
      </c>
      <c r="B5" t="s">
        <v>7</v>
      </c>
      <c r="C5">
        <v>100</v>
      </c>
      <c r="D5">
        <v>94</v>
      </c>
      <c r="E5">
        <f t="shared" ref="E5:E9" si="0">D5-C5</f>
        <v>-6</v>
      </c>
    </row>
    <row r="6" spans="1:5">
      <c r="A6">
        <v>3</v>
      </c>
      <c r="B6" t="s">
        <v>8</v>
      </c>
      <c r="C6">
        <v>255</v>
      </c>
      <c r="D6">
        <v>250</v>
      </c>
      <c r="E6">
        <f t="shared" si="0"/>
        <v>-5</v>
      </c>
    </row>
    <row r="7" spans="1:5">
      <c r="A7">
        <v>4</v>
      </c>
      <c r="B7" t="s">
        <v>9</v>
      </c>
      <c r="C7">
        <v>8</v>
      </c>
      <c r="D7">
        <v>7.9</v>
      </c>
      <c r="E7">
        <f t="shared" si="0"/>
        <v>-9.9999999999999645E-2</v>
      </c>
    </row>
    <row r="8" spans="1:5">
      <c r="A8">
        <v>5</v>
      </c>
      <c r="B8" t="s">
        <v>10</v>
      </c>
      <c r="C8">
        <f>C9*C6*C7</f>
        <v>20.400000000000002</v>
      </c>
      <c r="D8">
        <f>D9*D6*D7</f>
        <v>19</v>
      </c>
      <c r="E8">
        <f t="shared" si="0"/>
        <v>-1.4000000000000021</v>
      </c>
    </row>
    <row r="9" spans="1:5">
      <c r="A9">
        <v>6</v>
      </c>
      <c r="B9" t="s">
        <v>11</v>
      </c>
      <c r="C9">
        <f>C4/(C5*C6*C7)</f>
        <v>0.01</v>
      </c>
      <c r="D9">
        <f>D4/(D5*D6*D7)</f>
        <v>9.6202531645569623E-3</v>
      </c>
      <c r="E9">
        <f t="shared" si="0"/>
        <v>-3.7974683544303792E-4</v>
      </c>
    </row>
    <row r="11" spans="1:5">
      <c r="B11" t="s">
        <v>12</v>
      </c>
    </row>
    <row r="12" spans="1:5">
      <c r="B12" t="s">
        <v>13</v>
      </c>
    </row>
    <row r="13" spans="1:5">
      <c r="A13" t="s">
        <v>14</v>
      </c>
    </row>
    <row r="14" spans="1:5">
      <c r="A14" t="s">
        <v>15</v>
      </c>
    </row>
    <row r="15" spans="1:5" s="3" customFormat="1"/>
    <row r="16" spans="1:5">
      <c r="A16" t="s">
        <v>22</v>
      </c>
    </row>
    <row r="17" spans="1:5">
      <c r="A17" t="s">
        <v>1</v>
      </c>
      <c r="B17" t="s">
        <v>2</v>
      </c>
      <c r="C17" t="s">
        <v>3</v>
      </c>
      <c r="D17" t="s">
        <v>4</v>
      </c>
      <c r="E17" t="s">
        <v>5</v>
      </c>
    </row>
    <row r="18" spans="1:5">
      <c r="A18">
        <v>1</v>
      </c>
      <c r="C18">
        <v>17900</v>
      </c>
      <c r="D18">
        <v>19596</v>
      </c>
      <c r="E18">
        <f>D18-C18</f>
        <v>1696</v>
      </c>
    </row>
    <row r="19" spans="1:5">
      <c r="A19">
        <v>2</v>
      </c>
      <c r="B19" t="s">
        <v>7</v>
      </c>
      <c r="C19">
        <v>200</v>
      </c>
      <c r="D19">
        <v>202</v>
      </c>
      <c r="E19">
        <f t="shared" ref="E19:E26" si="1">D19-C19</f>
        <v>2</v>
      </c>
    </row>
    <row r="20" spans="1:5">
      <c r="A20">
        <v>3</v>
      </c>
      <c r="B20" t="s">
        <v>16</v>
      </c>
      <c r="C20" s="1">
        <v>95250</v>
      </c>
      <c r="D20" s="1">
        <v>99935</v>
      </c>
      <c r="E20">
        <f t="shared" si="1"/>
        <v>4685</v>
      </c>
    </row>
    <row r="21" spans="1:5">
      <c r="A21">
        <v>4</v>
      </c>
      <c r="C21" s="1">
        <v>96000</v>
      </c>
      <c r="D21" s="1">
        <v>104300</v>
      </c>
      <c r="E21">
        <f t="shared" si="1"/>
        <v>8300</v>
      </c>
    </row>
    <row r="22" spans="1:5">
      <c r="A22">
        <v>5</v>
      </c>
      <c r="B22" t="s">
        <v>17</v>
      </c>
      <c r="C22" s="2">
        <v>0.99219999999999997</v>
      </c>
      <c r="D22" s="2">
        <v>0.95809999999999995</v>
      </c>
      <c r="E22">
        <f t="shared" si="1"/>
        <v>-3.4100000000000019E-2</v>
      </c>
    </row>
    <row r="23" spans="1:5">
      <c r="A23">
        <v>6</v>
      </c>
      <c r="B23" t="s">
        <v>18</v>
      </c>
      <c r="C23" s="1">
        <v>89050</v>
      </c>
      <c r="D23" s="1">
        <v>95050</v>
      </c>
      <c r="E23">
        <f t="shared" si="1"/>
        <v>6000</v>
      </c>
    </row>
    <row r="24" spans="1:5">
      <c r="A24">
        <v>7</v>
      </c>
      <c r="B24" t="s">
        <v>19</v>
      </c>
      <c r="E24">
        <f t="shared" si="1"/>
        <v>0</v>
      </c>
    </row>
    <row r="25" spans="1:5">
      <c r="A25">
        <v>8</v>
      </c>
      <c r="B25" t="s">
        <v>20</v>
      </c>
      <c r="C25" s="1">
        <v>480</v>
      </c>
      <c r="D25" s="1">
        <v>516.33000000000004</v>
      </c>
      <c r="E25">
        <f t="shared" si="1"/>
        <v>36.330000000000041</v>
      </c>
    </row>
    <row r="26" spans="1:5">
      <c r="A26">
        <v>9</v>
      </c>
      <c r="B26" t="s">
        <v>21</v>
      </c>
      <c r="C26" s="1">
        <v>480</v>
      </c>
      <c r="D26" s="1">
        <v>499.01</v>
      </c>
      <c r="E26">
        <f t="shared" si="1"/>
        <v>19.009999999999991</v>
      </c>
    </row>
    <row r="28" spans="1:5" s="3" customFormat="1"/>
    <row r="30" spans="1:5">
      <c r="A30" t="s">
        <v>23</v>
      </c>
    </row>
    <row r="31" spans="1:5">
      <c r="A31" t="s">
        <v>24</v>
      </c>
    </row>
    <row r="33" spans="1:7">
      <c r="A33" s="4" t="s">
        <v>1</v>
      </c>
      <c r="B33" s="4" t="s">
        <v>2</v>
      </c>
      <c r="C33" s="4" t="s">
        <v>25</v>
      </c>
      <c r="D33" s="4" t="s">
        <v>26</v>
      </c>
      <c r="E33" s="4"/>
    </row>
    <row r="34" spans="1:7">
      <c r="A34" s="4">
        <v>1</v>
      </c>
      <c r="B34" s="4" t="s">
        <v>27</v>
      </c>
      <c r="C34" s="1">
        <v>28500</v>
      </c>
      <c r="D34" s="1">
        <v>30000</v>
      </c>
      <c r="E34" s="4"/>
    </row>
    <row r="35" spans="1:7">
      <c r="A35" s="4">
        <v>2</v>
      </c>
      <c r="B35" s="4" t="s">
        <v>28</v>
      </c>
      <c r="C35" s="1">
        <v>38000</v>
      </c>
      <c r="D35" s="1">
        <v>43000</v>
      </c>
      <c r="E35" s="4"/>
    </row>
    <row r="36" spans="1:7">
      <c r="A36" s="4">
        <v>3</v>
      </c>
      <c r="B36" s="4" t="s">
        <v>29</v>
      </c>
      <c r="C36" s="1">
        <v>2500</v>
      </c>
      <c r="D36" s="1">
        <v>3000</v>
      </c>
      <c r="E36" s="4"/>
    </row>
    <row r="37" spans="1:7">
      <c r="A37" s="4">
        <v>4</v>
      </c>
      <c r="B37" s="4" t="s">
        <v>30</v>
      </c>
      <c r="C37" s="1">
        <v>10000</v>
      </c>
      <c r="D37" s="1">
        <v>10500</v>
      </c>
      <c r="E37" s="4"/>
    </row>
    <row r="38" spans="1:7">
      <c r="A38" s="4">
        <v>5</v>
      </c>
      <c r="B38" s="4" t="s">
        <v>31</v>
      </c>
      <c r="C38" s="1">
        <v>3000</v>
      </c>
      <c r="D38" s="1">
        <v>3500</v>
      </c>
      <c r="E38" s="4"/>
    </row>
    <row r="39" spans="1:7">
      <c r="A39" s="4">
        <v>6</v>
      </c>
      <c r="B39" s="4" t="s">
        <v>32</v>
      </c>
      <c r="C39" s="1">
        <v>82000</v>
      </c>
      <c r="D39" s="1">
        <v>90000</v>
      </c>
      <c r="E39" s="4"/>
    </row>
    <row r="40" spans="1:7">
      <c r="A40" s="4">
        <v>7</v>
      </c>
      <c r="B40" s="4" t="s">
        <v>33</v>
      </c>
      <c r="C40" s="1">
        <v>25600</v>
      </c>
      <c r="D40" s="1">
        <v>27000</v>
      </c>
      <c r="E40" s="4"/>
    </row>
    <row r="41" spans="1:7">
      <c r="A41" s="4"/>
      <c r="B41" s="4" t="s">
        <v>34</v>
      </c>
      <c r="C41" s="4"/>
      <c r="D41" s="4"/>
      <c r="E41" s="4"/>
    </row>
    <row r="42" spans="1:7">
      <c r="A42" s="4">
        <v>8</v>
      </c>
      <c r="B42" s="4" t="s">
        <v>35</v>
      </c>
      <c r="C42" s="1">
        <v>149</v>
      </c>
      <c r="D42" s="1">
        <v>165</v>
      </c>
      <c r="E42" s="4"/>
    </row>
    <row r="43" spans="1:7">
      <c r="A43" s="4"/>
      <c r="B43" s="4" t="s">
        <v>36</v>
      </c>
      <c r="C43" s="4"/>
      <c r="D43" s="4"/>
      <c r="E43" s="4"/>
    </row>
    <row r="44" spans="1:7">
      <c r="A44" s="4">
        <v>9</v>
      </c>
      <c r="B44" s="4" t="s">
        <v>38</v>
      </c>
      <c r="C44" s="1">
        <v>17000</v>
      </c>
      <c r="D44" s="1">
        <v>18000</v>
      </c>
      <c r="E44" s="4">
        <f>C44/C46</f>
        <v>0.22666666666666666</v>
      </c>
      <c r="F44" s="4">
        <f>D44/D46</f>
        <v>0.21951219512195122</v>
      </c>
      <c r="G44" t="s">
        <v>40</v>
      </c>
    </row>
    <row r="45" spans="1:7">
      <c r="A45" s="4">
        <v>10</v>
      </c>
      <c r="B45" s="4" t="s">
        <v>37</v>
      </c>
      <c r="C45" s="1">
        <v>10000</v>
      </c>
      <c r="D45" s="1">
        <v>10000</v>
      </c>
      <c r="E45" s="4"/>
    </row>
    <row r="46" spans="1:7">
      <c r="A46" s="4">
        <v>11</v>
      </c>
      <c r="B46" s="4" t="s">
        <v>39</v>
      </c>
      <c r="C46" s="1">
        <v>75000</v>
      </c>
      <c r="D46" s="1">
        <v>82000</v>
      </c>
      <c r="E46" s="4"/>
    </row>
    <row r="47" spans="1:7">
      <c r="A47" s="4"/>
      <c r="B47" s="4"/>
      <c r="C47" s="4"/>
      <c r="D47" s="4"/>
      <c r="E47" s="4"/>
    </row>
    <row r="48" spans="1:7" s="3" customFormat="1"/>
    <row r="50" spans="1:7">
      <c r="A50" t="s">
        <v>41</v>
      </c>
      <c r="B50" t="s">
        <v>75</v>
      </c>
    </row>
    <row r="52" spans="1:7">
      <c r="A52" s="5" t="s">
        <v>42</v>
      </c>
    </row>
    <row r="53" spans="1:7">
      <c r="A53" s="6" t="s">
        <v>43</v>
      </c>
    </row>
    <row r="54" spans="1:7">
      <c r="A54" s="6" t="s">
        <v>44</v>
      </c>
      <c r="C54">
        <f>113920/27700</f>
        <v>4.1126353790613717</v>
      </c>
    </row>
    <row r="55" spans="1:7">
      <c r="A55" s="6" t="s">
        <v>45</v>
      </c>
    </row>
    <row r="56" spans="1:7">
      <c r="A56" s="6" t="s">
        <v>46</v>
      </c>
    </row>
    <row r="57" spans="1:7">
      <c r="A57" s="6" t="s">
        <v>47</v>
      </c>
    </row>
    <row r="58" spans="1:7">
      <c r="A58" s="5" t="s">
        <v>48</v>
      </c>
    </row>
    <row r="59" spans="1:7">
      <c r="A59" s="6" t="s">
        <v>49</v>
      </c>
      <c r="G59">
        <f>28900/115900</f>
        <v>0.24935289042277825</v>
      </c>
    </row>
    <row r="60" spans="1:7">
      <c r="A60" s="6" t="s">
        <v>50</v>
      </c>
    </row>
    <row r="61" spans="1:7">
      <c r="A61" s="6" t="s">
        <v>51</v>
      </c>
    </row>
    <row r="62" spans="1:7">
      <c r="A62" s="6" t="s">
        <v>52</v>
      </c>
      <c r="C62" s="1">
        <v>118000</v>
      </c>
      <c r="D62">
        <f>28900/118000</f>
        <v>0.24491525423728813</v>
      </c>
      <c r="E62">
        <f>D62-G59</f>
        <v>-4.4376361854901181E-3</v>
      </c>
    </row>
    <row r="63" spans="1:7" ht="15.75" thickBot="1">
      <c r="A63" s="7" t="s">
        <v>53</v>
      </c>
    </row>
    <row r="64" spans="1:7" ht="56.25" customHeight="1" thickBot="1">
      <c r="A64" s="55" t="s">
        <v>54</v>
      </c>
      <c r="B64" s="57" t="s">
        <v>55</v>
      </c>
      <c r="C64" s="58"/>
      <c r="D64" s="58"/>
      <c r="E64" s="59"/>
    </row>
    <row r="65" spans="1:5" ht="18.75" thickBot="1">
      <c r="A65" s="56"/>
      <c r="B65" s="8" t="s">
        <v>56</v>
      </c>
      <c r="C65" s="8" t="s">
        <v>57</v>
      </c>
      <c r="D65" s="8" t="s">
        <v>58</v>
      </c>
      <c r="E65" s="8" t="s">
        <v>59</v>
      </c>
    </row>
    <row r="66" spans="1:5" ht="18.75" thickBot="1">
      <c r="A66" s="9" t="s">
        <v>60</v>
      </c>
      <c r="B66" s="10" t="s">
        <v>61</v>
      </c>
      <c r="C66" s="10" t="s">
        <v>61</v>
      </c>
      <c r="D66" s="10" t="s">
        <v>61</v>
      </c>
      <c r="E66" s="10" t="s">
        <v>61</v>
      </c>
    </row>
    <row r="67" spans="1:5" ht="18.75" thickBot="1">
      <c r="A67" s="9" t="s">
        <v>62</v>
      </c>
      <c r="B67" s="10" t="s">
        <v>63</v>
      </c>
      <c r="C67" s="10" t="s">
        <v>64</v>
      </c>
      <c r="D67" s="10" t="s">
        <v>64</v>
      </c>
      <c r="E67" s="10" t="s">
        <v>64</v>
      </c>
    </row>
    <row r="68" spans="1:5" ht="18.75" thickBot="1">
      <c r="A68" s="9" t="s">
        <v>65</v>
      </c>
      <c r="B68" s="10" t="s">
        <v>66</v>
      </c>
      <c r="C68" s="10" t="s">
        <v>66</v>
      </c>
      <c r="D68" s="10" t="s">
        <v>61</v>
      </c>
      <c r="E68" s="10" t="s">
        <v>61</v>
      </c>
    </row>
    <row r="69" spans="1:5" ht="18.75" thickBot="1">
      <c r="A69" s="9" t="s">
        <v>67</v>
      </c>
      <c r="B69" s="10" t="s">
        <v>66</v>
      </c>
      <c r="C69" s="10" t="s">
        <v>66</v>
      </c>
      <c r="D69" s="10" t="s">
        <v>66</v>
      </c>
      <c r="E69" s="10" t="s">
        <v>61</v>
      </c>
    </row>
    <row r="70" spans="1:5" ht="18.75" thickBot="1">
      <c r="A70" s="9" t="s">
        <v>68</v>
      </c>
      <c r="B70" s="10" t="s">
        <v>66</v>
      </c>
      <c r="C70" s="10" t="s">
        <v>66</v>
      </c>
      <c r="D70" s="10" t="s">
        <v>66</v>
      </c>
      <c r="E70" s="10" t="s">
        <v>66</v>
      </c>
    </row>
    <row r="71" spans="1:5" ht="18">
      <c r="A71" t="s">
        <v>69</v>
      </c>
    </row>
    <row r="72" spans="1:5" ht="18">
      <c r="A72" s="7" t="s">
        <v>70</v>
      </c>
    </row>
    <row r="73" spans="1:5" ht="18">
      <c r="A73" s="7" t="s">
        <v>71</v>
      </c>
    </row>
    <row r="74" spans="1:5" ht="18">
      <c r="A74" s="7" t="s">
        <v>72</v>
      </c>
    </row>
    <row r="75" spans="1:5" ht="18">
      <c r="A75" s="7" t="s">
        <v>73</v>
      </c>
    </row>
    <row r="76" spans="1:5">
      <c r="A76" t="s">
        <v>74</v>
      </c>
    </row>
    <row r="78" spans="1:5" s="3" customFormat="1"/>
    <row r="81" spans="1:8">
      <c r="A81" t="s">
        <v>76</v>
      </c>
      <c r="B81" t="s">
        <v>77</v>
      </c>
      <c r="C81" t="s">
        <v>78</v>
      </c>
    </row>
    <row r="82" spans="1:8">
      <c r="A82" t="s">
        <v>79</v>
      </c>
      <c r="B82">
        <v>70</v>
      </c>
      <c r="C82">
        <v>80</v>
      </c>
      <c r="D82">
        <f>C82/B82</f>
        <v>1.1428571428571428</v>
      </c>
      <c r="E82">
        <f>C82-B82</f>
        <v>10</v>
      </c>
      <c r="F82">
        <f>C82/$C$86</f>
        <v>0.1951219512195122</v>
      </c>
      <c r="G82">
        <f>F82*100</f>
        <v>19.512195121951219</v>
      </c>
      <c r="H82">
        <f>B82/$B$86</f>
        <v>0.17499999999999999</v>
      </c>
    </row>
    <row r="83" spans="1:8">
      <c r="A83" t="s">
        <v>80</v>
      </c>
      <c r="B83">
        <v>130</v>
      </c>
      <c r="C83">
        <v>120</v>
      </c>
      <c r="D83">
        <f>C83/B83</f>
        <v>0.92307692307692313</v>
      </c>
      <c r="E83">
        <f t="shared" ref="E83:E85" si="2">C83-B83</f>
        <v>-10</v>
      </c>
      <c r="F83">
        <f t="shared" ref="F83:F85" si="3">C83/$C$86</f>
        <v>0.29268292682926828</v>
      </c>
      <c r="G83">
        <f t="shared" ref="G83:G85" si="4">F83*100</f>
        <v>29.268292682926827</v>
      </c>
      <c r="H83">
        <f t="shared" ref="H83:H85" si="5">B83/$B$86</f>
        <v>0.32500000000000001</v>
      </c>
    </row>
    <row r="84" spans="1:8">
      <c r="A84" t="s">
        <v>81</v>
      </c>
      <c r="B84">
        <v>110</v>
      </c>
      <c r="C84">
        <v>110</v>
      </c>
      <c r="D84">
        <f>C84/B84</f>
        <v>1</v>
      </c>
      <c r="E84">
        <f t="shared" si="2"/>
        <v>0</v>
      </c>
      <c r="F84">
        <f t="shared" si="3"/>
        <v>0.26829268292682928</v>
      </c>
      <c r="G84">
        <f t="shared" si="4"/>
        <v>26.829268292682929</v>
      </c>
      <c r="H84">
        <f t="shared" si="5"/>
        <v>0.27500000000000002</v>
      </c>
    </row>
    <row r="85" spans="1:8">
      <c r="A85" t="s">
        <v>82</v>
      </c>
      <c r="B85">
        <v>90</v>
      </c>
      <c r="C85">
        <v>100</v>
      </c>
      <c r="D85">
        <f>C85/B85</f>
        <v>1.1111111111111112</v>
      </c>
      <c r="E85">
        <f t="shared" si="2"/>
        <v>10</v>
      </c>
      <c r="F85">
        <f t="shared" si="3"/>
        <v>0.24390243902439024</v>
      </c>
      <c r="G85">
        <f t="shared" si="4"/>
        <v>24.390243902439025</v>
      </c>
      <c r="H85">
        <f t="shared" si="5"/>
        <v>0.22500000000000001</v>
      </c>
    </row>
    <row r="86" spans="1:8">
      <c r="A86" t="s">
        <v>83</v>
      </c>
      <c r="B86">
        <f>SUM(B82:B85)</f>
        <v>400</v>
      </c>
      <c r="C86">
        <f>SUM(C82:C85)</f>
        <v>410</v>
      </c>
    </row>
    <row r="88" spans="1:8">
      <c r="A88" t="s">
        <v>84</v>
      </c>
    </row>
    <row r="92" spans="1:8">
      <c r="B92" t="s">
        <v>85</v>
      </c>
    </row>
    <row r="94" spans="1:8">
      <c r="A94" t="s">
        <v>86</v>
      </c>
      <c r="B94" t="s">
        <v>87</v>
      </c>
      <c r="C94" t="s">
        <v>88</v>
      </c>
      <c r="D94" t="s">
        <v>89</v>
      </c>
    </row>
    <row r="95" spans="1:8">
      <c r="A95">
        <v>1</v>
      </c>
      <c r="B95" t="s">
        <v>90</v>
      </c>
      <c r="C95" s="11"/>
      <c r="D95" s="11"/>
    </row>
    <row r="96" spans="1:8">
      <c r="A96" t="s">
        <v>79</v>
      </c>
      <c r="B96" t="s">
        <v>91</v>
      </c>
      <c r="C96" s="1">
        <v>4900</v>
      </c>
      <c r="D96" s="1">
        <v>5000</v>
      </c>
    </row>
    <row r="97" spans="1:4">
      <c r="A97" t="s">
        <v>80</v>
      </c>
      <c r="B97" t="s">
        <v>92</v>
      </c>
      <c r="C97" s="1">
        <v>5000</v>
      </c>
      <c r="D97" s="1">
        <v>5100</v>
      </c>
    </row>
    <row r="98" spans="1:4">
      <c r="A98">
        <v>2</v>
      </c>
      <c r="B98" t="s">
        <v>93</v>
      </c>
      <c r="C98" s="1">
        <v>89400</v>
      </c>
      <c r="D98" s="1">
        <v>88500</v>
      </c>
    </row>
    <row r="99" spans="1:4">
      <c r="A99">
        <v>3</v>
      </c>
      <c r="B99" t="s">
        <v>94</v>
      </c>
      <c r="C99" s="1">
        <f>C98-(C97-C96)</f>
        <v>89300</v>
      </c>
      <c r="D99" s="1">
        <f>D98-(D97-D96)</f>
        <v>88400</v>
      </c>
    </row>
    <row r="100" spans="1:4">
      <c r="A100">
        <v>4</v>
      </c>
      <c r="B100" t="s">
        <v>95</v>
      </c>
      <c r="C100" s="11"/>
      <c r="D100" s="11"/>
    </row>
    <row r="101" spans="1:4">
      <c r="B101" t="s">
        <v>91</v>
      </c>
      <c r="C101" s="1">
        <v>5200</v>
      </c>
      <c r="D101" s="1">
        <v>5400</v>
      </c>
    </row>
    <row r="102" spans="1:4">
      <c r="B102" t="s">
        <v>92</v>
      </c>
      <c r="C102" s="1">
        <v>5000</v>
      </c>
      <c r="D102" s="1">
        <v>4900</v>
      </c>
    </row>
    <row r="103" spans="1:4">
      <c r="A103">
        <v>5</v>
      </c>
      <c r="B103" t="s">
        <v>96</v>
      </c>
      <c r="C103" s="1">
        <f>(C101-C102)-(C97-C96)+C98</f>
        <v>89500</v>
      </c>
      <c r="D103" s="1">
        <f>(D101-D102)-(D97-D96)+D98</f>
        <v>88900</v>
      </c>
    </row>
    <row r="105" spans="1:4">
      <c r="B105" t="s">
        <v>97</v>
      </c>
    </row>
    <row r="106" spans="1:4">
      <c r="B106" t="s">
        <v>98</v>
      </c>
    </row>
    <row r="107" spans="1:4">
      <c r="B107" t="s">
        <v>99</v>
      </c>
    </row>
    <row r="108" spans="1:4">
      <c r="B108" t="s">
        <v>100</v>
      </c>
    </row>
    <row r="109" spans="1:4">
      <c r="B109" t="s">
        <v>101</v>
      </c>
    </row>
    <row r="110" spans="1:4">
      <c r="B110" t="s">
        <v>102</v>
      </c>
    </row>
    <row r="112" spans="1:4" s="3" customFormat="1"/>
    <row r="114" spans="1:6">
      <c r="B114" t="s">
        <v>103</v>
      </c>
    </row>
    <row r="116" spans="1:6">
      <c r="A116" t="s">
        <v>106</v>
      </c>
      <c r="B116" t="s">
        <v>87</v>
      </c>
      <c r="C116" t="s">
        <v>104</v>
      </c>
      <c r="D116" t="s">
        <v>105</v>
      </c>
    </row>
    <row r="117" spans="1:6">
      <c r="A117">
        <v>1</v>
      </c>
      <c r="B117" t="s">
        <v>107</v>
      </c>
      <c r="C117">
        <v>70</v>
      </c>
      <c r="D117">
        <v>80</v>
      </c>
      <c r="E117">
        <f>D117-C117</f>
        <v>10</v>
      </c>
      <c r="F117">
        <f>D117/C117</f>
        <v>1.1428571428571428</v>
      </c>
    </row>
    <row r="118" spans="1:6">
      <c r="A118">
        <v>2</v>
      </c>
      <c r="B118" t="s">
        <v>108</v>
      </c>
      <c r="C118" s="1">
        <v>8400</v>
      </c>
      <c r="D118" s="1">
        <v>12000</v>
      </c>
      <c r="E118">
        <f t="shared" ref="E118:E121" si="6">D118-C118</f>
        <v>3600</v>
      </c>
      <c r="F118">
        <f t="shared" ref="F118:F121" si="7">D118/C118</f>
        <v>1.4285714285714286</v>
      </c>
    </row>
    <row r="119" spans="1:6">
      <c r="A119">
        <v>3</v>
      </c>
      <c r="B119" t="s">
        <v>109</v>
      </c>
      <c r="C119" s="1">
        <v>17500</v>
      </c>
      <c r="D119" s="1">
        <v>22400</v>
      </c>
      <c r="E119">
        <f t="shared" si="6"/>
        <v>4900</v>
      </c>
      <c r="F119">
        <f t="shared" si="7"/>
        <v>1.28</v>
      </c>
    </row>
    <row r="120" spans="1:6">
      <c r="A120">
        <v>4</v>
      </c>
      <c r="B120" t="s">
        <v>110</v>
      </c>
      <c r="C120">
        <v>250</v>
      </c>
      <c r="D120">
        <v>280</v>
      </c>
      <c r="E120">
        <f t="shared" si="6"/>
        <v>30</v>
      </c>
      <c r="F120">
        <f t="shared" si="7"/>
        <v>1.1200000000000001</v>
      </c>
    </row>
    <row r="121" spans="1:6">
      <c r="A121">
        <v>5</v>
      </c>
      <c r="B121" t="s">
        <v>111</v>
      </c>
      <c r="C121">
        <f>(C118/C117)+C120</f>
        <v>370</v>
      </c>
      <c r="D121">
        <f>(D118/D117)+D120</f>
        <v>430</v>
      </c>
      <c r="E121">
        <f t="shared" si="6"/>
        <v>60</v>
      </c>
      <c r="F121">
        <f t="shared" si="7"/>
        <v>1.1621621621621621</v>
      </c>
    </row>
    <row r="123" spans="1:6">
      <c r="B123" t="s">
        <v>112</v>
      </c>
      <c r="C123">
        <f>(D118/C117)+C120-C121</f>
        <v>51.428571428571445</v>
      </c>
    </row>
    <row r="124" spans="1:6">
      <c r="B124" t="s">
        <v>113</v>
      </c>
      <c r="C124">
        <f>((D118/D117)+C120)-((D118/C117)+C120)</f>
        <v>-21.428571428571445</v>
      </c>
    </row>
    <row r="125" spans="1:6">
      <c r="B125" t="s">
        <v>114</v>
      </c>
      <c r="C125">
        <f>D121-((D118/D117)+C120)</f>
        <v>30</v>
      </c>
    </row>
    <row r="127" spans="1:6" s="3" customFormat="1"/>
    <row r="128" spans="1:6" ht="15.75" thickBot="1"/>
    <row r="129" spans="4:12">
      <c r="E129" s="51" t="s">
        <v>115</v>
      </c>
      <c r="F129" s="49" t="s">
        <v>116</v>
      </c>
      <c r="G129" s="49"/>
      <c r="H129" s="49" t="s">
        <v>119</v>
      </c>
      <c r="I129" s="49"/>
      <c r="J129" s="49" t="s">
        <v>121</v>
      </c>
      <c r="K129" s="49"/>
      <c r="L129" s="50"/>
    </row>
    <row r="130" spans="4:12">
      <c r="E130" s="52"/>
      <c r="F130" s="12" t="s">
        <v>117</v>
      </c>
      <c r="G130" s="12" t="s">
        <v>118</v>
      </c>
      <c r="H130" s="12" t="s">
        <v>120</v>
      </c>
      <c r="I130" s="12" t="s">
        <v>118</v>
      </c>
      <c r="J130" s="12" t="s">
        <v>122</v>
      </c>
      <c r="K130" s="12" t="s">
        <v>123</v>
      </c>
      <c r="L130" s="18" t="s">
        <v>124</v>
      </c>
    </row>
    <row r="131" spans="4:12" ht="15.75" thickBot="1">
      <c r="E131" s="20">
        <v>1</v>
      </c>
      <c r="F131" s="13">
        <v>2</v>
      </c>
      <c r="G131" s="13">
        <v>3</v>
      </c>
      <c r="H131" s="13">
        <v>4</v>
      </c>
      <c r="I131" s="13">
        <v>5</v>
      </c>
      <c r="J131" s="13">
        <v>6</v>
      </c>
      <c r="K131" s="13">
        <v>7</v>
      </c>
      <c r="L131" s="21">
        <v>8</v>
      </c>
    </row>
    <row r="132" spans="4:12" ht="15.75" thickBot="1">
      <c r="D132">
        <v>1</v>
      </c>
      <c r="E132" s="36" t="s">
        <v>130</v>
      </c>
      <c r="F132" s="37"/>
      <c r="G132" s="37"/>
      <c r="H132" s="37"/>
      <c r="I132" s="37"/>
      <c r="J132" s="37"/>
      <c r="K132" s="37"/>
      <c r="L132" s="38"/>
    </row>
    <row r="133" spans="4:12">
      <c r="E133" s="27" t="s">
        <v>125</v>
      </c>
      <c r="F133" s="28">
        <v>410593</v>
      </c>
      <c r="G133" s="28">
        <v>404427</v>
      </c>
      <c r="H133" s="28">
        <f>(F133/$F$137)*100</f>
        <v>85.176433979877615</v>
      </c>
      <c r="I133" s="28">
        <f>(G133/$G$137)*100</f>
        <v>85.637420461403266</v>
      </c>
      <c r="J133" s="28">
        <f>G133-F133</f>
        <v>-6166</v>
      </c>
      <c r="K133" s="28">
        <f>(I133/H133)*100</f>
        <v>100.54121364324146</v>
      </c>
      <c r="L133" s="29">
        <f>(G133/F133)*100</f>
        <v>98.498269575954779</v>
      </c>
    </row>
    <row r="134" spans="4:12">
      <c r="E134" s="19" t="s">
        <v>126</v>
      </c>
      <c r="F134" s="12">
        <v>7</v>
      </c>
      <c r="G134" s="12">
        <v>7</v>
      </c>
      <c r="H134" s="12">
        <f t="shared" ref="H134:H136" si="8">(F134/$F$137)*100</f>
        <v>1.4521315216263872E-3</v>
      </c>
      <c r="I134" s="12">
        <f t="shared" ref="I134:I136" si="9">(G134/$G$137)*100</f>
        <v>1.4822500555843772E-3</v>
      </c>
      <c r="J134" s="12">
        <f t="shared" ref="J134:J159" si="10">G134-F134</f>
        <v>0</v>
      </c>
      <c r="K134" s="12">
        <f t="shared" ref="K134:K157" si="11">(I134/H134)*100</f>
        <v>102.07409132777845</v>
      </c>
      <c r="L134" s="18">
        <f t="shared" ref="L134:L159" si="12">(G134/F134)*100</f>
        <v>100</v>
      </c>
    </row>
    <row r="135" spans="4:12">
      <c r="E135" s="19" t="s">
        <v>127</v>
      </c>
      <c r="F135" s="12">
        <v>0</v>
      </c>
      <c r="G135" s="12">
        <v>0</v>
      </c>
      <c r="H135" s="12">
        <f t="shared" si="8"/>
        <v>0</v>
      </c>
      <c r="I135" s="12">
        <f t="shared" si="9"/>
        <v>0</v>
      </c>
      <c r="J135" s="12">
        <f t="shared" si="10"/>
        <v>0</v>
      </c>
      <c r="K135" s="12" t="s">
        <v>147</v>
      </c>
      <c r="L135" s="18" t="s">
        <v>147</v>
      </c>
    </row>
    <row r="136" spans="4:12" ht="15.75" thickBot="1">
      <c r="E136" s="30" t="s">
        <v>128</v>
      </c>
      <c r="F136" s="31">
        <v>71450</v>
      </c>
      <c r="G136" s="31">
        <v>67821</v>
      </c>
      <c r="H136" s="31">
        <f t="shared" si="8"/>
        <v>14.822113888600768</v>
      </c>
      <c r="I136" s="31">
        <f t="shared" si="9"/>
        <v>14.361097288541147</v>
      </c>
      <c r="J136" s="31">
        <f t="shared" si="10"/>
        <v>-3629</v>
      </c>
      <c r="K136" s="31">
        <f t="shared" si="11"/>
        <v>96.889670370066611</v>
      </c>
      <c r="L136" s="32">
        <f t="shared" si="12"/>
        <v>94.920923722883131</v>
      </c>
    </row>
    <row r="137" spans="4:12" ht="15.75" thickBot="1">
      <c r="E137" s="24"/>
      <c r="F137" s="25">
        <f>SUM(F133:F136)</f>
        <v>482050</v>
      </c>
      <c r="G137" s="25">
        <f t="shared" ref="G137:J137" si="13">SUM(G133:G136)</f>
        <v>472255</v>
      </c>
      <c r="H137" s="25">
        <f t="shared" si="13"/>
        <v>100.00000000000001</v>
      </c>
      <c r="I137" s="25">
        <f t="shared" si="13"/>
        <v>100</v>
      </c>
      <c r="J137" s="25">
        <f t="shared" si="13"/>
        <v>-9795</v>
      </c>
      <c r="K137" s="25"/>
      <c r="L137" s="26"/>
    </row>
    <row r="138" spans="4:12" ht="15.75" thickBot="1">
      <c r="D138">
        <v>2</v>
      </c>
      <c r="E138" s="33" t="s">
        <v>129</v>
      </c>
      <c r="F138" s="34"/>
      <c r="G138" s="34"/>
      <c r="H138" s="34"/>
      <c r="I138" s="34"/>
      <c r="J138" s="34"/>
      <c r="K138" s="34"/>
      <c r="L138" s="35"/>
    </row>
    <row r="139" spans="4:12">
      <c r="E139" s="27" t="s">
        <v>131</v>
      </c>
      <c r="F139" s="28">
        <v>60335</v>
      </c>
      <c r="G139" s="28">
        <v>81014</v>
      </c>
      <c r="H139" s="28">
        <f>(F139/$F$144)*100</f>
        <v>65.436423582491003</v>
      </c>
      <c r="I139" s="28">
        <f>(G139/$G$144)*100</f>
        <v>60.266166767092919</v>
      </c>
      <c r="J139" s="28">
        <f t="shared" si="10"/>
        <v>20679</v>
      </c>
      <c r="K139" s="28">
        <f t="shared" si="11"/>
        <v>92.098808993006301</v>
      </c>
      <c r="L139" s="29">
        <f t="shared" si="12"/>
        <v>134.27363884975554</v>
      </c>
    </row>
    <row r="140" spans="4:12">
      <c r="E140" s="19" t="s">
        <v>132</v>
      </c>
      <c r="F140" s="12">
        <v>5464</v>
      </c>
      <c r="G140" s="12">
        <v>18942</v>
      </c>
      <c r="H140" s="12">
        <f t="shared" ref="H140:H143" si="14">(F140/$F$144)*100</f>
        <v>5.9259901956531174</v>
      </c>
      <c r="I140" s="12">
        <f t="shared" ref="I140:I143" si="15">(G140/$G$144)*100</f>
        <v>14.090919234975116</v>
      </c>
      <c r="J140" s="12">
        <f t="shared" si="10"/>
        <v>13478</v>
      </c>
      <c r="K140" s="12">
        <f t="shared" si="11"/>
        <v>237.78168322504496</v>
      </c>
      <c r="L140" s="18">
        <f t="shared" si="12"/>
        <v>346.66910688140558</v>
      </c>
    </row>
    <row r="141" spans="4:12">
      <c r="E141" s="19" t="s">
        <v>133</v>
      </c>
      <c r="F141" s="12">
        <v>26257</v>
      </c>
      <c r="G141" s="12">
        <v>34299</v>
      </c>
      <c r="H141" s="12">
        <f t="shared" si="14"/>
        <v>28.477072578196172</v>
      </c>
      <c r="I141" s="12">
        <f t="shared" si="15"/>
        <v>25.514963511794502</v>
      </c>
      <c r="J141" s="12">
        <f t="shared" si="10"/>
        <v>8042</v>
      </c>
      <c r="K141" s="12" t="s">
        <v>147</v>
      </c>
      <c r="L141" s="18" t="s">
        <v>147</v>
      </c>
    </row>
    <row r="142" spans="4:12">
      <c r="E142" s="19" t="s">
        <v>134</v>
      </c>
      <c r="F142" s="12">
        <v>31</v>
      </c>
      <c r="G142" s="12">
        <v>55</v>
      </c>
      <c r="H142" s="12">
        <f t="shared" si="14"/>
        <v>3.3621101036831372E-2</v>
      </c>
      <c r="I142" s="12">
        <f t="shared" si="15"/>
        <v>4.091439963697769E-2</v>
      </c>
      <c r="J142" s="12">
        <f t="shared" si="10"/>
        <v>24</v>
      </c>
      <c r="K142" s="12">
        <f t="shared" si="11"/>
        <v>121.69262271380295</v>
      </c>
      <c r="L142" s="18">
        <f t="shared" si="12"/>
        <v>177.41935483870967</v>
      </c>
    </row>
    <row r="143" spans="4:12" ht="15.75" thickBot="1">
      <c r="E143" s="30" t="s">
        <v>210</v>
      </c>
      <c r="F143" s="31">
        <v>117</v>
      </c>
      <c r="G143" s="31">
        <v>117</v>
      </c>
      <c r="H143" s="31">
        <f t="shared" si="14"/>
        <v>0.12689254262287969</v>
      </c>
      <c r="I143" s="31">
        <f t="shared" si="15"/>
        <v>8.7036086500479823E-2</v>
      </c>
      <c r="J143" s="31">
        <f t="shared" si="10"/>
        <v>0</v>
      </c>
      <c r="K143" s="31">
        <f t="shared" si="11"/>
        <v>68.590387347779853</v>
      </c>
      <c r="L143" s="32">
        <f t="shared" si="12"/>
        <v>100</v>
      </c>
    </row>
    <row r="144" spans="4:12" ht="15.75" thickBot="1">
      <c r="E144" s="24"/>
      <c r="F144" s="25">
        <f>SUM(F139:F143)</f>
        <v>92204</v>
      </c>
      <c r="G144" s="25">
        <f t="shared" ref="G144:L144" si="16">SUM(G139:G143)</f>
        <v>134427</v>
      </c>
      <c r="H144" s="25">
        <f t="shared" si="16"/>
        <v>100</v>
      </c>
      <c r="I144" s="25">
        <f t="shared" si="16"/>
        <v>99.999999999999986</v>
      </c>
      <c r="J144" s="25">
        <f t="shared" si="16"/>
        <v>42223</v>
      </c>
      <c r="K144" s="25">
        <f t="shared" si="16"/>
        <v>520.16350227963403</v>
      </c>
      <c r="L144" s="26">
        <f t="shared" si="16"/>
        <v>758.36210056987079</v>
      </c>
    </row>
    <row r="145" spans="4:12" ht="15.75" thickBot="1">
      <c r="D145">
        <v>3</v>
      </c>
      <c r="E145" s="33" t="s">
        <v>135</v>
      </c>
      <c r="F145" s="34"/>
      <c r="G145" s="34"/>
      <c r="H145" s="34"/>
      <c r="I145" s="34"/>
      <c r="J145" s="34"/>
      <c r="K145" s="34"/>
      <c r="L145" s="35"/>
    </row>
    <row r="146" spans="4:12">
      <c r="E146" s="27" t="s">
        <v>136</v>
      </c>
      <c r="F146" s="28">
        <v>92439</v>
      </c>
      <c r="G146" s="28">
        <v>360512</v>
      </c>
      <c r="H146" s="28">
        <f>(F146/$F$151)*100</f>
        <v>35.231231277012554</v>
      </c>
      <c r="I146" s="28">
        <f>(G146/$G$151)*100</f>
        <v>232.33506692702798</v>
      </c>
      <c r="J146" s="28">
        <f t="shared" si="10"/>
        <v>268073</v>
      </c>
      <c r="K146" s="28">
        <f t="shared" si="11"/>
        <v>659.45769848418684</v>
      </c>
      <c r="L146" s="29">
        <f t="shared" si="12"/>
        <v>389.99989182055191</v>
      </c>
    </row>
    <row r="147" spans="4:12">
      <c r="E147" s="19" t="s">
        <v>137</v>
      </c>
      <c r="F147" s="12">
        <v>7216</v>
      </c>
      <c r="G147" s="12">
        <v>7216</v>
      </c>
      <c r="H147" s="12">
        <f t="shared" ref="H147:H150" si="17">(F147/$F$151)*100</f>
        <v>2.7502305833568363</v>
      </c>
      <c r="I147" s="12">
        <f t="shared" ref="I147:I150" si="18">(G147/$G$151)*100</f>
        <v>4.6504134202063554</v>
      </c>
      <c r="J147" s="12">
        <f t="shared" si="10"/>
        <v>0</v>
      </c>
      <c r="K147" s="12">
        <f t="shared" si="11"/>
        <v>169.09176446326262</v>
      </c>
      <c r="L147" s="18">
        <f t="shared" si="12"/>
        <v>100</v>
      </c>
    </row>
    <row r="148" spans="4:12">
      <c r="E148" s="19" t="s">
        <v>138</v>
      </c>
      <c r="F148" s="12">
        <v>417849</v>
      </c>
      <c r="G148" s="12">
        <v>149776</v>
      </c>
      <c r="H148" s="12">
        <f t="shared" si="17"/>
        <v>159.25458689371823</v>
      </c>
      <c r="I148" s="12">
        <f t="shared" si="18"/>
        <v>96.524434648673392</v>
      </c>
      <c r="J148" s="12">
        <f t="shared" si="10"/>
        <v>-268073</v>
      </c>
      <c r="K148" s="12">
        <f t="shared" si="11"/>
        <v>60.610144129218035</v>
      </c>
      <c r="L148" s="18">
        <f t="shared" si="12"/>
        <v>35.844527568571422</v>
      </c>
    </row>
    <row r="149" spans="4:12">
      <c r="E149" s="19" t="s">
        <v>139</v>
      </c>
      <c r="F149" s="12">
        <v>-255127</v>
      </c>
      <c r="G149" s="12">
        <v>-362335</v>
      </c>
      <c r="H149" s="12">
        <f t="shared" si="17"/>
        <v>-97.236429883603051</v>
      </c>
      <c r="I149" s="12">
        <f t="shared" si="18"/>
        <v>-233.50991499590768</v>
      </c>
      <c r="J149" s="12">
        <f t="shared" si="10"/>
        <v>-107208</v>
      </c>
      <c r="K149" s="12">
        <f>(I149/H149)*100</f>
        <v>240.14653281227098</v>
      </c>
      <c r="L149" s="18">
        <f t="shared" si="12"/>
        <v>142.0214246238148</v>
      </c>
    </row>
    <row r="150" spans="4:12" ht="15.75" thickBot="1">
      <c r="E150" s="30" t="s">
        <v>140</v>
      </c>
      <c r="F150" s="31">
        <v>1</v>
      </c>
      <c r="G150" s="31">
        <v>0</v>
      </c>
      <c r="H150" s="31">
        <f t="shared" si="17"/>
        <v>3.8112951543193408E-4</v>
      </c>
      <c r="I150" s="31">
        <f t="shared" si="18"/>
        <v>0</v>
      </c>
      <c r="J150" s="31">
        <f t="shared" si="10"/>
        <v>-1</v>
      </c>
      <c r="K150" s="31">
        <f t="shared" si="11"/>
        <v>0</v>
      </c>
      <c r="L150" s="32">
        <f t="shared" si="12"/>
        <v>0</v>
      </c>
    </row>
    <row r="151" spans="4:12" ht="15.75" thickBot="1">
      <c r="E151" s="24"/>
      <c r="F151" s="25">
        <f>SUM(F146:F150)</f>
        <v>262378</v>
      </c>
      <c r="G151" s="25">
        <f t="shared" ref="G151:L151" si="19">SUM(G146:G150)</f>
        <v>155169</v>
      </c>
      <c r="H151" s="25">
        <f t="shared" si="19"/>
        <v>100</v>
      </c>
      <c r="I151" s="25">
        <f t="shared" si="19"/>
        <v>100.00000000000003</v>
      </c>
      <c r="J151" s="25">
        <f t="shared" si="19"/>
        <v>-107209</v>
      </c>
      <c r="K151" s="25">
        <f t="shared" si="19"/>
        <v>1129.3061398889386</v>
      </c>
      <c r="L151" s="26">
        <f t="shared" si="19"/>
        <v>667.86584401293817</v>
      </c>
    </row>
    <row r="152" spans="4:12">
      <c r="D152">
        <v>4</v>
      </c>
      <c r="E152" s="22" t="s">
        <v>141</v>
      </c>
      <c r="F152" s="14"/>
      <c r="G152" s="14"/>
      <c r="H152" s="14"/>
      <c r="I152" s="14"/>
      <c r="J152" s="14"/>
      <c r="K152" s="14"/>
      <c r="L152" s="23"/>
    </row>
    <row r="153" spans="4:12" ht="15.75" thickBot="1">
      <c r="E153" s="20" t="s">
        <v>142</v>
      </c>
      <c r="F153" s="13">
        <v>33</v>
      </c>
      <c r="G153" s="13">
        <v>19</v>
      </c>
      <c r="H153" s="13">
        <f>(F153/$F$154)*100</f>
        <v>100</v>
      </c>
      <c r="I153" s="13">
        <f>(G153/$G$154)*100</f>
        <v>100</v>
      </c>
      <c r="J153" s="13">
        <f t="shared" si="10"/>
        <v>-14</v>
      </c>
      <c r="K153" s="13">
        <f t="shared" si="11"/>
        <v>100</v>
      </c>
      <c r="L153" s="21">
        <f t="shared" si="12"/>
        <v>57.575757575757578</v>
      </c>
    </row>
    <row r="154" spans="4:12" ht="15.75" thickBot="1">
      <c r="E154" s="15"/>
      <c r="F154" s="16">
        <f>SUM(F153)</f>
        <v>33</v>
      </c>
      <c r="G154" s="16">
        <f t="shared" ref="G154:L154" si="20">SUM(G153)</f>
        <v>19</v>
      </c>
      <c r="H154" s="16">
        <f t="shared" si="20"/>
        <v>100</v>
      </c>
      <c r="I154" s="16">
        <f t="shared" si="20"/>
        <v>100</v>
      </c>
      <c r="J154" s="16">
        <f t="shared" si="20"/>
        <v>-14</v>
      </c>
      <c r="K154" s="16">
        <f t="shared" si="20"/>
        <v>100</v>
      </c>
      <c r="L154" s="16">
        <f t="shared" si="20"/>
        <v>57.575757575757578</v>
      </c>
    </row>
    <row r="155" spans="4:12">
      <c r="D155">
        <v>5</v>
      </c>
      <c r="E155" s="22" t="s">
        <v>143</v>
      </c>
      <c r="F155" s="14"/>
      <c r="G155" s="14"/>
      <c r="H155" s="14"/>
      <c r="I155" s="14"/>
      <c r="J155" s="14"/>
      <c r="K155" s="14"/>
      <c r="L155" s="23"/>
    </row>
    <row r="156" spans="4:12">
      <c r="E156" s="19" t="s">
        <v>144</v>
      </c>
      <c r="F156" s="12">
        <v>337</v>
      </c>
      <c r="G156" s="12">
        <v>0</v>
      </c>
      <c r="H156" s="12">
        <f>(F156/$F$158)*100</f>
        <v>0.10806720048229397</v>
      </c>
      <c r="I156" s="12">
        <f>(G156/$G$158)*100</f>
        <v>0</v>
      </c>
      <c r="J156" s="12">
        <f t="shared" si="10"/>
        <v>-337</v>
      </c>
      <c r="K156" s="12">
        <f t="shared" si="11"/>
        <v>0</v>
      </c>
      <c r="L156" s="18">
        <f t="shared" si="12"/>
        <v>0</v>
      </c>
    </row>
    <row r="157" spans="4:12" ht="15.75" thickBot="1">
      <c r="E157" s="20" t="s">
        <v>145</v>
      </c>
      <c r="F157" s="13">
        <v>311506</v>
      </c>
      <c r="G157" s="13">
        <v>451494</v>
      </c>
      <c r="H157" s="12">
        <f>(F157/$F$158)*100</f>
        <v>99.891932799517704</v>
      </c>
      <c r="I157" s="12">
        <f>(G157/$G$158)*100</f>
        <v>100</v>
      </c>
      <c r="J157" s="13">
        <f t="shared" si="10"/>
        <v>139988</v>
      </c>
      <c r="K157" s="13">
        <f t="shared" si="11"/>
        <v>100.10818411202354</v>
      </c>
      <c r="L157" s="21">
        <f t="shared" si="12"/>
        <v>144.93910229658496</v>
      </c>
    </row>
    <row r="158" spans="4:12" ht="15.75" thickBot="1">
      <c r="E158" s="15"/>
      <c r="F158" s="16">
        <f>SUM(F156:F157)</f>
        <v>311843</v>
      </c>
      <c r="G158" s="16">
        <f t="shared" ref="G158:L158" si="21">SUM(G156:G157)</f>
        <v>451494</v>
      </c>
      <c r="H158" s="16">
        <f t="shared" si="21"/>
        <v>100</v>
      </c>
      <c r="I158" s="16">
        <f t="shared" si="21"/>
        <v>100</v>
      </c>
      <c r="J158" s="16">
        <f t="shared" si="21"/>
        <v>139651</v>
      </c>
      <c r="K158" s="16">
        <f t="shared" si="21"/>
        <v>100.10818411202354</v>
      </c>
      <c r="L158" s="17">
        <f t="shared" si="21"/>
        <v>144.93910229658496</v>
      </c>
    </row>
    <row r="159" spans="4:12" ht="15.75" thickBot="1">
      <c r="E159" s="24" t="s">
        <v>146</v>
      </c>
      <c r="F159" s="25">
        <v>574254</v>
      </c>
      <c r="G159" s="25">
        <v>606682</v>
      </c>
      <c r="H159" s="25">
        <f>SUM(H133:H136,H139:H140,H142:H143,H141,H146:H150,H153,H156,H157)</f>
        <v>500</v>
      </c>
      <c r="I159" s="25"/>
      <c r="J159" s="25">
        <f t="shared" si="10"/>
        <v>32428</v>
      </c>
      <c r="K159" s="25" t="s">
        <v>147</v>
      </c>
      <c r="L159" s="26">
        <f t="shared" si="12"/>
        <v>105.6469785147339</v>
      </c>
    </row>
    <row r="160" spans="4:12">
      <c r="F160">
        <f>SUM(F158,F154,F151,F144,F137)</f>
        <v>1148508</v>
      </c>
      <c r="G160">
        <f>SUM(G158,G154,G151,G144,G137)</f>
        <v>1213364</v>
      </c>
    </row>
    <row r="162" spans="5:10">
      <c r="E162" t="s">
        <v>148</v>
      </c>
      <c r="F162" s="53" t="s">
        <v>150</v>
      </c>
      <c r="G162" s="53"/>
      <c r="H162" s="54" t="s">
        <v>152</v>
      </c>
      <c r="I162" s="54"/>
    </row>
    <row r="163" spans="5:10" ht="15.75" thickBot="1">
      <c r="E163" s="13" t="s">
        <v>149</v>
      </c>
      <c r="F163" s="13" t="s">
        <v>117</v>
      </c>
      <c r="G163" s="13" t="s">
        <v>151</v>
      </c>
      <c r="H163" s="13" t="s">
        <v>117</v>
      </c>
      <c r="I163" s="13" t="s">
        <v>151</v>
      </c>
    </row>
    <row r="164" spans="5:10">
      <c r="E164" s="27">
        <v>1</v>
      </c>
      <c r="F164" s="28">
        <v>2</v>
      </c>
      <c r="G164" s="28">
        <v>3</v>
      </c>
      <c r="H164" s="28">
        <v>4</v>
      </c>
      <c r="I164" s="29">
        <v>5</v>
      </c>
    </row>
    <row r="165" spans="5:10">
      <c r="E165" s="19" t="s">
        <v>153</v>
      </c>
      <c r="F165" s="12"/>
      <c r="G165" s="12"/>
      <c r="H165" s="12"/>
      <c r="I165" s="18"/>
    </row>
    <row r="166" spans="5:10">
      <c r="E166" s="19" t="s">
        <v>142</v>
      </c>
      <c r="F166" s="12">
        <v>33</v>
      </c>
      <c r="G166" s="12">
        <v>19</v>
      </c>
      <c r="H166" s="12">
        <f>(F166/F168)*100</f>
        <v>100</v>
      </c>
      <c r="I166" s="18">
        <f>(G166/G168)*100</f>
        <v>100</v>
      </c>
    </row>
    <row r="167" spans="5:10">
      <c r="E167" s="19" t="s">
        <v>157</v>
      </c>
      <c r="F167" s="12">
        <v>0</v>
      </c>
      <c r="G167" s="12">
        <v>0</v>
      </c>
      <c r="H167" s="12">
        <f>(F167/F168)*100</f>
        <v>0</v>
      </c>
      <c r="I167" s="18">
        <f>(G167/G168)*100</f>
        <v>0</v>
      </c>
    </row>
    <row r="168" spans="5:10">
      <c r="E168" s="19"/>
      <c r="F168" s="12">
        <f>SUM(F166:F167)</f>
        <v>33</v>
      </c>
      <c r="G168" s="12">
        <f>SUM(G166:G167)</f>
        <v>19</v>
      </c>
      <c r="H168" s="12"/>
      <c r="I168" s="18"/>
    </row>
    <row r="169" spans="5:10">
      <c r="E169" s="19" t="s">
        <v>156</v>
      </c>
      <c r="F169" s="12"/>
      <c r="G169" s="12"/>
      <c r="H169" s="12"/>
      <c r="I169" s="18"/>
    </row>
    <row r="170" spans="5:10">
      <c r="E170" s="19" t="s">
        <v>154</v>
      </c>
      <c r="F170" s="12">
        <v>337</v>
      </c>
      <c r="G170" s="12">
        <v>0</v>
      </c>
      <c r="H170" s="12">
        <f>(F170/$F$181)*100</f>
        <v>0.10806720048229397</v>
      </c>
      <c r="I170" s="18">
        <f>(G170/$G$181)*100</f>
        <v>0</v>
      </c>
    </row>
    <row r="171" spans="5:10">
      <c r="E171" s="19" t="s">
        <v>155</v>
      </c>
      <c r="F171" s="12">
        <v>311506</v>
      </c>
      <c r="G171" s="12">
        <v>451494</v>
      </c>
      <c r="H171" s="12">
        <f t="shared" ref="H171:H180" si="22">(F171/$F$181)*100</f>
        <v>99.891932799517704</v>
      </c>
      <c r="I171" s="18">
        <f t="shared" ref="I171:I180" si="23">(G171/$G$181)*100</f>
        <v>100</v>
      </c>
      <c r="J171" t="s">
        <v>212</v>
      </c>
    </row>
    <row r="172" spans="5:10">
      <c r="E172" s="19" t="s">
        <v>158</v>
      </c>
      <c r="F172" s="12">
        <v>103794</v>
      </c>
      <c r="G172" s="12">
        <v>126835</v>
      </c>
      <c r="H172" s="12">
        <f>(F172/$F$171)*100</f>
        <v>33.320064461037667</v>
      </c>
      <c r="I172" s="18">
        <f>(G172/$G$171)*100</f>
        <v>28.092289155559097</v>
      </c>
    </row>
    <row r="173" spans="5:10">
      <c r="E173" s="19" t="s">
        <v>159</v>
      </c>
      <c r="F173" s="12">
        <v>2576</v>
      </c>
      <c r="G173" s="12">
        <v>4796</v>
      </c>
      <c r="H173" s="12">
        <f t="shared" ref="H173:H179" si="24">(F173/$F$171)*100</f>
        <v>0.82695036371691066</v>
      </c>
      <c r="I173" s="18">
        <f t="shared" ref="I173:I179" si="25">(G173/$G$171)*100</f>
        <v>1.0622511041121254</v>
      </c>
    </row>
    <row r="174" spans="5:10">
      <c r="E174" s="41" t="s">
        <v>160</v>
      </c>
      <c r="F174" s="40">
        <v>0</v>
      </c>
      <c r="G174" s="40">
        <v>0</v>
      </c>
      <c r="H174" s="12">
        <f t="shared" si="24"/>
        <v>0</v>
      </c>
      <c r="I174" s="18">
        <f t="shared" si="25"/>
        <v>0</v>
      </c>
    </row>
    <row r="175" spans="5:10">
      <c r="E175" s="41" t="s">
        <v>161</v>
      </c>
      <c r="F175" s="40">
        <v>48508</v>
      </c>
      <c r="G175" s="40">
        <v>92109</v>
      </c>
      <c r="H175" s="12">
        <f t="shared" si="24"/>
        <v>15.572091709308969</v>
      </c>
      <c r="I175" s="18">
        <f t="shared" si="25"/>
        <v>20.400935560605458</v>
      </c>
    </row>
    <row r="176" spans="5:10">
      <c r="E176" s="41" t="s">
        <v>162</v>
      </c>
      <c r="F176" s="40">
        <v>71551</v>
      </c>
      <c r="G176" s="40">
        <v>106884</v>
      </c>
      <c r="H176" s="12">
        <f t="shared" si="24"/>
        <v>22.969381007107405</v>
      </c>
      <c r="I176" s="18">
        <f t="shared" si="25"/>
        <v>23.673404297731533</v>
      </c>
    </row>
    <row r="177" spans="4:10">
      <c r="E177" s="41" t="s">
        <v>163</v>
      </c>
      <c r="F177" s="12">
        <v>59018</v>
      </c>
      <c r="G177" s="40">
        <v>78127</v>
      </c>
      <c r="H177" s="12">
        <f t="shared" si="24"/>
        <v>18.946023511585651</v>
      </c>
      <c r="I177" s="18">
        <f t="shared" si="25"/>
        <v>17.304105923888248</v>
      </c>
    </row>
    <row r="178" spans="4:10">
      <c r="E178" s="41" t="s">
        <v>164</v>
      </c>
      <c r="F178" s="12">
        <v>0</v>
      </c>
      <c r="G178" s="40">
        <v>0</v>
      </c>
      <c r="H178" s="12">
        <f t="shared" si="24"/>
        <v>0</v>
      </c>
      <c r="I178" s="18">
        <f t="shared" si="25"/>
        <v>0</v>
      </c>
    </row>
    <row r="179" spans="4:10">
      <c r="E179" s="41" t="s">
        <v>165</v>
      </c>
      <c r="F179" s="12">
        <v>26057</v>
      </c>
      <c r="G179" s="40">
        <v>42788</v>
      </c>
      <c r="H179" s="12">
        <f t="shared" si="24"/>
        <v>8.3648469050355381</v>
      </c>
      <c r="I179" s="18">
        <f t="shared" si="25"/>
        <v>9.4769808679628067</v>
      </c>
    </row>
    <row r="180" spans="4:10">
      <c r="E180" s="41" t="s">
        <v>166</v>
      </c>
      <c r="F180" s="12">
        <v>0</v>
      </c>
      <c r="G180" s="40">
        <v>0</v>
      </c>
      <c r="H180" s="12">
        <f t="shared" si="22"/>
        <v>0</v>
      </c>
      <c r="I180" s="18">
        <f t="shared" si="23"/>
        <v>0</v>
      </c>
    </row>
    <row r="181" spans="4:10" ht="15.75" thickBot="1">
      <c r="E181" s="42" t="s">
        <v>167</v>
      </c>
      <c r="F181" s="31">
        <v>311843</v>
      </c>
      <c r="G181" s="31">
        <v>451494</v>
      </c>
      <c r="H181" s="31">
        <f>H180+H171+H170</f>
        <v>100</v>
      </c>
      <c r="I181" s="32">
        <f>I180+I170+I171</f>
        <v>100</v>
      </c>
    </row>
    <row r="182" spans="4:10">
      <c r="E182" s="39"/>
    </row>
    <row r="183" spans="4:10">
      <c r="E183" s="39"/>
    </row>
    <row r="184" spans="4:10">
      <c r="E184" s="39" t="s">
        <v>168</v>
      </c>
    </row>
    <row r="186" spans="4:10">
      <c r="D186" s="12" t="s">
        <v>1</v>
      </c>
      <c r="E186" s="12" t="s">
        <v>169</v>
      </c>
      <c r="F186" s="12" t="s">
        <v>117</v>
      </c>
      <c r="G186" s="12" t="s">
        <v>118</v>
      </c>
      <c r="H186" s="12" t="s">
        <v>170</v>
      </c>
    </row>
    <row r="187" spans="4:10">
      <c r="D187">
        <v>1</v>
      </c>
      <c r="E187" t="s">
        <v>171</v>
      </c>
      <c r="F187">
        <f>F144/F158</f>
        <v>0.29567442591303955</v>
      </c>
      <c r="G187">
        <f>G144/G158</f>
        <v>0.2977381759226036</v>
      </c>
      <c r="H187">
        <v>1</v>
      </c>
      <c r="I187" t="s">
        <v>177</v>
      </c>
    </row>
    <row r="188" spans="4:10">
      <c r="D188">
        <v>2</v>
      </c>
      <c r="E188" t="s">
        <v>172</v>
      </c>
      <c r="F188">
        <f>(F151+0-F137)/F158</f>
        <v>-0.70443139656814491</v>
      </c>
      <c r="G188">
        <f>(G151+0-G137)/G159</f>
        <v>-0.52265602078189233</v>
      </c>
      <c r="H188">
        <v>0.1</v>
      </c>
      <c r="I188" s="5" t="s">
        <v>180</v>
      </c>
      <c r="J188" t="s">
        <v>181</v>
      </c>
    </row>
    <row r="189" spans="4:10">
      <c r="D189">
        <v>3</v>
      </c>
      <c r="E189" t="s">
        <v>173</v>
      </c>
      <c r="F189">
        <f>(F181+F168)/F159</f>
        <v>0.54309765365152007</v>
      </c>
      <c r="G189">
        <f>(G181+G168)/G159</f>
        <v>0.74423338750778822</v>
      </c>
      <c r="H189" t="s">
        <v>174</v>
      </c>
      <c r="I189" t="s">
        <v>179</v>
      </c>
    </row>
    <row r="190" spans="4:10">
      <c r="D190">
        <v>4</v>
      </c>
      <c r="E190" t="s">
        <v>175</v>
      </c>
      <c r="F190">
        <v>5.0000000000000001E-4</v>
      </c>
      <c r="G190">
        <v>4.0000000000000002E-4</v>
      </c>
      <c r="H190" t="s">
        <v>176</v>
      </c>
      <c r="I190" t="s">
        <v>178</v>
      </c>
    </row>
    <row r="193" spans="1:7">
      <c r="B193" t="s">
        <v>182</v>
      </c>
    </row>
    <row r="194" spans="1:7">
      <c r="B194" t="s">
        <v>183</v>
      </c>
    </row>
    <row r="195" spans="1:7">
      <c r="A195">
        <v>1</v>
      </c>
      <c r="B195" t="s">
        <v>184</v>
      </c>
    </row>
    <row r="196" spans="1:7">
      <c r="B196" s="12" t="s">
        <v>169</v>
      </c>
      <c r="C196" s="12" t="s">
        <v>185</v>
      </c>
      <c r="D196" s="12" t="s">
        <v>186</v>
      </c>
      <c r="E196" s="12" t="s">
        <v>187</v>
      </c>
      <c r="F196" s="12" t="s">
        <v>188</v>
      </c>
      <c r="G196" s="12" t="s">
        <v>189</v>
      </c>
    </row>
    <row r="197" spans="1:7">
      <c r="B197" s="12" t="s">
        <v>191</v>
      </c>
      <c r="C197" s="12">
        <v>10</v>
      </c>
      <c r="D197" s="43">
        <v>410593</v>
      </c>
      <c r="E197" s="43">
        <v>6812</v>
      </c>
      <c r="F197" s="43">
        <v>12983</v>
      </c>
      <c r="G197" s="43">
        <v>404427</v>
      </c>
    </row>
    <row r="198" spans="1:7">
      <c r="B198" s="12" t="s">
        <v>190</v>
      </c>
      <c r="C198" s="12"/>
      <c r="D198" s="12"/>
      <c r="E198" s="12"/>
      <c r="F198" s="12"/>
      <c r="G198" s="12"/>
    </row>
    <row r="199" spans="1:7">
      <c r="B199" s="12" t="s">
        <v>192</v>
      </c>
      <c r="C199" s="12">
        <v>11</v>
      </c>
      <c r="D199" s="43">
        <v>400000</v>
      </c>
      <c r="E199" s="12">
        <v>0</v>
      </c>
      <c r="F199" s="43">
        <v>11000</v>
      </c>
      <c r="G199" s="43">
        <f>D199-F199+E199</f>
        <v>389000</v>
      </c>
    </row>
    <row r="200" spans="1:7">
      <c r="B200" s="12" t="s">
        <v>197</v>
      </c>
      <c r="C200" s="12">
        <v>12</v>
      </c>
      <c r="D200" s="12">
        <v>0</v>
      </c>
      <c r="E200" s="12">
        <v>0</v>
      </c>
      <c r="F200" s="12">
        <v>0</v>
      </c>
      <c r="G200" s="43">
        <f t="shared" ref="G200:G208" si="26">D200-F200+E200</f>
        <v>0</v>
      </c>
    </row>
    <row r="201" spans="1:7">
      <c r="B201" s="12" t="s">
        <v>196</v>
      </c>
      <c r="C201" s="12">
        <v>13</v>
      </c>
      <c r="D201" s="43">
        <v>4000</v>
      </c>
      <c r="E201" s="43">
        <v>4127</v>
      </c>
      <c r="F201" s="43">
        <v>1000</v>
      </c>
      <c r="G201" s="43">
        <f t="shared" si="26"/>
        <v>7127</v>
      </c>
    </row>
    <row r="202" spans="1:7">
      <c r="B202" s="12" t="s">
        <v>195</v>
      </c>
      <c r="C202" s="12">
        <v>14</v>
      </c>
      <c r="D202" s="43">
        <v>4460</v>
      </c>
      <c r="E202" s="43">
        <v>2690</v>
      </c>
      <c r="F202" s="12">
        <v>0</v>
      </c>
      <c r="G202" s="43">
        <f t="shared" si="26"/>
        <v>7150</v>
      </c>
    </row>
    <row r="203" spans="1:7">
      <c r="B203" s="12" t="s">
        <v>193</v>
      </c>
      <c r="C203" s="12">
        <v>15</v>
      </c>
      <c r="D203" s="12">
        <v>0</v>
      </c>
      <c r="E203" s="12">
        <v>0</v>
      </c>
      <c r="F203" s="12">
        <v>0</v>
      </c>
      <c r="G203" s="43">
        <f t="shared" si="26"/>
        <v>0</v>
      </c>
    </row>
    <row r="204" spans="1:7">
      <c r="B204" s="12" t="s">
        <v>194</v>
      </c>
      <c r="C204" s="12">
        <v>16</v>
      </c>
      <c r="D204" s="12">
        <v>0</v>
      </c>
      <c r="E204" s="12">
        <v>0</v>
      </c>
      <c r="F204" s="12">
        <v>0</v>
      </c>
      <c r="G204" s="43">
        <f t="shared" si="26"/>
        <v>0</v>
      </c>
    </row>
    <row r="205" spans="1:7">
      <c r="B205" s="12" t="s">
        <v>198</v>
      </c>
      <c r="C205" s="12">
        <v>17</v>
      </c>
      <c r="D205" s="12">
        <v>0</v>
      </c>
      <c r="E205" s="12">
        <v>0</v>
      </c>
      <c r="F205" s="12">
        <v>0</v>
      </c>
      <c r="G205" s="43">
        <f t="shared" si="26"/>
        <v>0</v>
      </c>
    </row>
    <row r="206" spans="1:7">
      <c r="B206" s="12" t="s">
        <v>199</v>
      </c>
      <c r="C206" s="12">
        <v>18</v>
      </c>
      <c r="D206" s="12">
        <v>0</v>
      </c>
      <c r="E206" s="12">
        <v>0</v>
      </c>
      <c r="F206" s="12">
        <v>0</v>
      </c>
      <c r="G206" s="43">
        <f t="shared" si="26"/>
        <v>0</v>
      </c>
    </row>
    <row r="207" spans="1:7">
      <c r="B207" s="12" t="s">
        <v>200</v>
      </c>
      <c r="C207" s="12">
        <v>19</v>
      </c>
      <c r="D207" s="12">
        <v>2133</v>
      </c>
      <c r="E207" s="12">
        <v>0</v>
      </c>
      <c r="F207" s="12">
        <v>983</v>
      </c>
      <c r="G207" s="43">
        <f t="shared" si="26"/>
        <v>1150</v>
      </c>
    </row>
    <row r="208" spans="1:7">
      <c r="B208" s="13" t="s">
        <v>201</v>
      </c>
      <c r="C208" s="13">
        <v>20</v>
      </c>
      <c r="D208" s="13">
        <v>7</v>
      </c>
      <c r="E208" s="13">
        <v>0</v>
      </c>
      <c r="F208" s="13">
        <v>0</v>
      </c>
      <c r="G208" s="44">
        <f t="shared" si="26"/>
        <v>7</v>
      </c>
    </row>
    <row r="209" spans="2:7">
      <c r="B209" s="45"/>
      <c r="C209" s="45"/>
      <c r="D209" s="46">
        <f>SUM(D199:D208)</f>
        <v>410600</v>
      </c>
      <c r="E209" s="46">
        <f>SUM(E199:E208)</f>
        <v>6817</v>
      </c>
      <c r="F209" s="46">
        <f t="shared" ref="F209:G209" si="27">SUM(F199:F208)</f>
        <v>12983</v>
      </c>
      <c r="G209" s="46">
        <f t="shared" si="27"/>
        <v>404434</v>
      </c>
    </row>
    <row r="210" spans="2:7">
      <c r="B210" s="47" t="s">
        <v>202</v>
      </c>
      <c r="C210" s="45"/>
      <c r="D210" s="45"/>
      <c r="E210" s="45"/>
      <c r="F210" s="45"/>
      <c r="G210" s="46"/>
    </row>
    <row r="211" spans="2:7">
      <c r="B211" s="12" t="s">
        <v>203</v>
      </c>
      <c r="C211" s="12" t="s">
        <v>204</v>
      </c>
      <c r="D211" s="12" t="s">
        <v>187</v>
      </c>
      <c r="E211" s="12" t="s">
        <v>188</v>
      </c>
      <c r="F211" s="12" t="s">
        <v>205</v>
      </c>
      <c r="G211" s="46"/>
    </row>
    <row r="212" spans="2:7">
      <c r="B212" s="12" t="s">
        <v>206</v>
      </c>
      <c r="C212" s="12">
        <f>((D201+D202)/D197)*100</f>
        <v>2.0604345422352548</v>
      </c>
      <c r="D212" s="12">
        <f>((E201+E202)/E197)*100</f>
        <v>100.07339988256018</v>
      </c>
      <c r="E212" s="12">
        <f t="shared" ref="E212:F212" si="28">((F201+F202)/F197)*100</f>
        <v>7.7023800354309486</v>
      </c>
      <c r="F212" s="12">
        <f t="shared" si="28"/>
        <v>3.5301797357743179</v>
      </c>
      <c r="G212" s="46"/>
    </row>
    <row r="213" spans="2:7">
      <c r="B213" s="12" t="s">
        <v>207</v>
      </c>
      <c r="C213" s="12">
        <f>D217/($D$197+D217)</f>
        <v>0.33333170966149689</v>
      </c>
      <c r="D213" s="12"/>
      <c r="E213" s="12"/>
      <c r="F213" s="12">
        <f>G217/($D$197+G217+D217)</f>
        <v>0.24717455769573965</v>
      </c>
      <c r="G213" s="46"/>
    </row>
    <row r="214" spans="2:7">
      <c r="B214" s="12" t="s">
        <v>208</v>
      </c>
      <c r="C214" s="12"/>
      <c r="D214" s="12"/>
      <c r="E214" s="12"/>
      <c r="F214" s="12">
        <f>E197/(G197+G208)</f>
        <v>1.6843292106993972E-2</v>
      </c>
      <c r="G214" s="46"/>
    </row>
    <row r="215" spans="2:7">
      <c r="B215" s="13" t="s">
        <v>209</v>
      </c>
      <c r="C215" s="13"/>
      <c r="D215" s="13"/>
      <c r="E215" s="13"/>
      <c r="F215" s="13">
        <f>F197/D197</f>
        <v>3.1620120167659943E-2</v>
      </c>
    </row>
    <row r="216" spans="2:7">
      <c r="B216" s="48"/>
      <c r="C216" s="48"/>
      <c r="D216" s="48"/>
      <c r="E216" s="48"/>
      <c r="F216" s="48"/>
    </row>
    <row r="217" spans="2:7">
      <c r="B217" s="40" t="s">
        <v>211</v>
      </c>
      <c r="C217" s="12">
        <v>1</v>
      </c>
      <c r="D217" s="43">
        <v>205295</v>
      </c>
      <c r="E217" s="12"/>
      <c r="F217" s="12"/>
      <c r="G217" s="43">
        <v>202214</v>
      </c>
    </row>
    <row r="219" spans="2:7" s="3" customFormat="1"/>
    <row r="221" spans="2:7">
      <c r="B221">
        <f>(1500*100)/2500</f>
        <v>60</v>
      </c>
    </row>
  </sheetData>
  <mergeCells count="8">
    <mergeCell ref="J129:L129"/>
    <mergeCell ref="E129:E130"/>
    <mergeCell ref="F162:G162"/>
    <mergeCell ref="H162:I162"/>
    <mergeCell ref="A64:A65"/>
    <mergeCell ref="B64:E64"/>
    <mergeCell ref="F129:G129"/>
    <mergeCell ref="H129:I1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2009-03-20T10:48:00Z</dcterms:created>
  <dcterms:modified xsi:type="dcterms:W3CDTF">2009-06-05T12:32:28Z</dcterms:modified>
</cp:coreProperties>
</file>